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Q12" i="1"/>
  <c r="Q13" i="1"/>
  <c r="AH22" i="1"/>
  <c r="AH21" i="1"/>
  <c r="Q11" i="1" l="1"/>
  <c r="M9" i="1"/>
  <c r="X28" i="1" l="1"/>
  <c r="X27" i="1"/>
  <c r="D16" i="1" l="1"/>
  <c r="K3" i="1" l="1"/>
  <c r="AH7" i="1"/>
  <c r="AH5" i="1"/>
  <c r="AH6" i="1"/>
  <c r="AH8" i="1"/>
  <c r="AH9" i="1"/>
  <c r="AH10" i="1"/>
  <c r="AH4" i="1"/>
  <c r="AG13" i="1" s="1"/>
  <c r="AB15" i="1" s="1"/>
  <c r="X26" i="1" l="1"/>
  <c r="Y12" i="1" l="1"/>
  <c r="H15" i="1" s="1"/>
  <c r="W32" i="1"/>
  <c r="W26" i="1"/>
  <c r="W27" i="1"/>
  <c r="W28" i="1"/>
  <c r="W29" i="1"/>
  <c r="Y26" i="1"/>
  <c r="Y27" i="1"/>
  <c r="Y28" i="1"/>
  <c r="Y29" i="1"/>
  <c r="Y30" i="1"/>
  <c r="Y31" i="1"/>
  <c r="Y32" i="1"/>
  <c r="Y33" i="1"/>
  <c r="Z26" i="1" l="1"/>
  <c r="Z27" i="1"/>
  <c r="Z28" i="1"/>
  <c r="X29" i="1"/>
  <c r="X30" i="1"/>
  <c r="X31" i="1"/>
  <c r="X32" i="1"/>
  <c r="Z32" i="1" s="1"/>
  <c r="X33" i="1"/>
  <c r="Z33" i="1" s="1"/>
  <c r="W30" i="1"/>
  <c r="Z30" i="1" s="1"/>
  <c r="W31" i="1"/>
  <c r="Z31" i="1" s="1"/>
  <c r="Z29" i="1" l="1"/>
  <c r="AG7" i="1" s="1"/>
  <c r="AG10" i="1"/>
  <c r="AG5" i="1"/>
  <c r="AG6" i="1"/>
  <c r="AG8" i="1"/>
  <c r="AG4" i="1"/>
  <c r="AD13" i="1"/>
  <c r="AB17" i="1" l="1"/>
  <c r="AB16" i="1"/>
  <c r="AG9" i="1"/>
  <c r="AB14" i="1" s="1"/>
  <c r="W6" i="1"/>
  <c r="W5" i="1"/>
  <c r="X5" i="1" s="1"/>
  <c r="AC6" i="1" l="1"/>
  <c r="X6" i="1"/>
  <c r="AC5" i="1"/>
  <c r="AA6" i="1"/>
  <c r="AA5" i="1"/>
  <c r="W4" i="1" l="1"/>
  <c r="X4" i="1" s="1"/>
  <c r="Y4" i="1" s="1"/>
  <c r="AC17" i="1" l="1"/>
  <c r="AC15" i="1"/>
  <c r="AA4" i="1"/>
  <c r="AC4" i="1"/>
  <c r="AC16" i="1"/>
  <c r="AD15" i="1" l="1"/>
  <c r="AE4" i="1"/>
  <c r="W7" i="1"/>
  <c r="X7" i="1" s="1"/>
  <c r="AE7" i="1" l="1"/>
  <c r="AA7" i="1"/>
  <c r="AC7" i="1"/>
  <c r="AD7" i="1"/>
  <c r="Y7" i="1"/>
  <c r="Z7" i="1" s="1"/>
  <c r="AB7" i="1" l="1"/>
  <c r="W8" i="1" l="1"/>
  <c r="X8" i="1" s="1"/>
  <c r="W9" i="1"/>
  <c r="X9" i="1" s="1"/>
  <c r="W10" i="1"/>
  <c r="X10" i="1" s="1"/>
  <c r="AC10" i="1" l="1"/>
  <c r="AA10" i="1"/>
  <c r="Y9" i="1"/>
  <c r="AC9" i="1"/>
  <c r="AA9" i="1"/>
  <c r="AC8" i="1"/>
  <c r="AA8" i="1"/>
  <c r="AD9" i="1"/>
  <c r="AE8" i="1"/>
  <c r="Y8" i="1"/>
  <c r="AB8" i="1" s="1"/>
  <c r="Y6" i="1"/>
  <c r="Y10" i="1"/>
  <c r="AB10" i="1" s="1"/>
  <c r="AE10" i="1"/>
  <c r="AE5" i="1"/>
  <c r="AG15" i="1" s="1"/>
  <c r="AE6" i="1"/>
  <c r="AE9" i="1"/>
  <c r="AF7" i="1"/>
  <c r="AD21" i="1" s="1"/>
  <c r="AD22" i="1" s="1"/>
  <c r="Y5" i="1" l="1"/>
  <c r="Z5" i="1" s="1"/>
  <c r="Z4" i="1"/>
  <c r="AD4" i="1"/>
  <c r="AD6" i="1"/>
  <c r="Z6" i="1"/>
  <c r="Z10" i="1"/>
  <c r="AB9" i="1"/>
  <c r="Z9" i="1"/>
  <c r="Z8" i="1"/>
  <c r="AD10" i="1"/>
  <c r="AD8" i="1"/>
  <c r="AB6" i="1"/>
  <c r="AB4" i="1"/>
  <c r="AA11" i="1" l="1"/>
  <c r="Z11" i="1" s="1"/>
  <c r="AD5" i="1"/>
  <c r="AE11" i="1" s="1"/>
  <c r="AD11" i="1" s="1"/>
  <c r="Z16" i="1" s="1"/>
  <c r="AB5" i="1"/>
  <c r="AF9" i="1"/>
  <c r="AF21" i="1" s="1"/>
  <c r="AF22" i="1" s="1"/>
  <c r="AF10" i="1"/>
  <c r="AG21" i="1" s="1"/>
  <c r="AG22" i="1" s="1"/>
  <c r="AF6" i="1"/>
  <c r="AF8" i="1"/>
  <c r="AF4" i="1"/>
  <c r="AA21" i="1" s="1"/>
  <c r="AA22" i="1" l="1"/>
  <c r="Q8" i="1" s="1"/>
  <c r="Z14" i="1"/>
  <c r="AF5" i="1"/>
  <c r="AB21" i="1" s="1"/>
  <c r="AB22" i="1" s="1"/>
  <c r="Q9" i="1" s="1"/>
  <c r="AE21" i="1"/>
  <c r="AE22" i="1" s="1"/>
  <c r="AC11" i="1"/>
  <c r="AB11" i="1" s="1"/>
  <c r="A6" i="1" s="1"/>
  <c r="AC21" i="1"/>
  <c r="AC22" i="1" s="1"/>
  <c r="Y17" i="1" l="1"/>
  <c r="K2" i="1" s="1"/>
  <c r="A5" i="1" s="1"/>
  <c r="Z15" i="1"/>
  <c r="Z17" i="1" s="1"/>
  <c r="Q10" i="1"/>
  <c r="AF11" i="1"/>
  <c r="AE15" i="1" s="1"/>
  <c r="F3" i="1" l="1"/>
  <c r="I4" i="1"/>
  <c r="J4" i="1"/>
  <c r="AF12" i="1"/>
  <c r="M5" i="1" s="1"/>
  <c r="R5" i="1" s="1"/>
  <c r="O5" i="1" l="1"/>
  <c r="A4" i="1"/>
  <c r="S5" i="1"/>
  <c r="P5" i="1"/>
</calcChain>
</file>

<file path=xl/sharedStrings.xml><?xml version="1.0" encoding="utf-8"?>
<sst xmlns="http://schemas.openxmlformats.org/spreadsheetml/2006/main" count="152" uniqueCount="115">
  <si>
    <t>加入者</t>
    <rPh sb="0" eb="3">
      <t>カニュウシャ</t>
    </rPh>
    <phoneticPr fontId="1"/>
  </si>
  <si>
    <t>世帯主</t>
    <rPh sb="0" eb="3">
      <t>セタイヌシ</t>
    </rPh>
    <phoneticPr fontId="1"/>
  </si>
  <si>
    <t>世帯員１</t>
    <rPh sb="0" eb="3">
      <t>セタイイン</t>
    </rPh>
    <phoneticPr fontId="1"/>
  </si>
  <si>
    <t>世帯員２</t>
    <rPh sb="0" eb="3">
      <t>セタイイン</t>
    </rPh>
    <phoneticPr fontId="1"/>
  </si>
  <si>
    <t>世帯員４</t>
    <rPh sb="0" eb="3">
      <t>セタイイン</t>
    </rPh>
    <phoneticPr fontId="1"/>
  </si>
  <si>
    <t>世帯員３</t>
    <rPh sb="0" eb="3">
      <t>セタイイン</t>
    </rPh>
    <phoneticPr fontId="1"/>
  </si>
  <si>
    <t>世帯員５</t>
    <rPh sb="0" eb="3">
      <t>セタイイン</t>
    </rPh>
    <phoneticPr fontId="1"/>
  </si>
  <si>
    <t>世帯員６</t>
    <rPh sb="0" eb="3">
      <t>セタイイン</t>
    </rPh>
    <phoneticPr fontId="1"/>
  </si>
  <si>
    <t>39歳以下</t>
    <rPh sb="2" eb="5">
      <t>サイイカ</t>
    </rPh>
    <phoneticPr fontId="1"/>
  </si>
  <si>
    <t>40歳～64歳</t>
    <rPh sb="2" eb="3">
      <t>サイ</t>
    </rPh>
    <rPh sb="6" eb="7">
      <t>サイ</t>
    </rPh>
    <phoneticPr fontId="1"/>
  </si>
  <si>
    <t>65歳以上</t>
    <rPh sb="2" eb="5">
      <t>サイイジョウ</t>
    </rPh>
    <phoneticPr fontId="1"/>
  </si>
  <si>
    <t>国民健康保険料　簡易試算シート（北区版）</t>
    <rPh sb="0" eb="2">
      <t>コクミン</t>
    </rPh>
    <rPh sb="2" eb="4">
      <t>ケンコウ</t>
    </rPh>
    <rPh sb="4" eb="7">
      <t>ホケンリョウ</t>
    </rPh>
    <rPh sb="8" eb="10">
      <t>カンイ</t>
    </rPh>
    <rPh sb="10" eb="12">
      <t>シサン</t>
    </rPh>
    <rPh sb="16" eb="18">
      <t>キタク</t>
    </rPh>
    <rPh sb="18" eb="19">
      <t>バン</t>
    </rPh>
    <phoneticPr fontId="1"/>
  </si>
  <si>
    <t>加入している</t>
    <rPh sb="0" eb="2">
      <t>カニュウ</t>
    </rPh>
    <phoneticPr fontId="1"/>
  </si>
  <si>
    <t>C列選択用</t>
    <rPh sb="1" eb="2">
      <t>レツ</t>
    </rPh>
    <rPh sb="2" eb="5">
      <t>センタクヨウ</t>
    </rPh>
    <phoneticPr fontId="1"/>
  </si>
  <si>
    <t>M列選択用</t>
    <rPh sb="1" eb="2">
      <t>レツ</t>
    </rPh>
    <rPh sb="2" eb="5">
      <t>センタクヨウ</t>
    </rPh>
    <phoneticPr fontId="1"/>
  </si>
  <si>
    <t>加入していない</t>
    <rPh sb="0" eb="2">
      <t>カニュウ</t>
    </rPh>
    <phoneticPr fontId="1"/>
  </si>
  <si>
    <t>医療</t>
    <rPh sb="0" eb="2">
      <t>イリョウ</t>
    </rPh>
    <phoneticPr fontId="1"/>
  </si>
  <si>
    <t>支援</t>
    <rPh sb="0" eb="2">
      <t>シエン</t>
    </rPh>
    <phoneticPr fontId="1"/>
  </si>
  <si>
    <t>介護</t>
    <rPh sb="0" eb="2">
      <t>カイゴ</t>
    </rPh>
    <phoneticPr fontId="1"/>
  </si>
  <si>
    <t>所得割</t>
    <rPh sb="0" eb="2">
      <t>ショトク</t>
    </rPh>
    <rPh sb="2" eb="3">
      <t>ワリ</t>
    </rPh>
    <phoneticPr fontId="1"/>
  </si>
  <si>
    <t>均等割</t>
    <rPh sb="0" eb="3">
      <t>キントウワリ</t>
    </rPh>
    <phoneticPr fontId="1"/>
  </si>
  <si>
    <t>医療分</t>
    <rPh sb="0" eb="2">
      <t>イリョウ</t>
    </rPh>
    <rPh sb="2" eb="3">
      <t>ブン</t>
    </rPh>
    <phoneticPr fontId="1"/>
  </si>
  <si>
    <t>支援金分</t>
    <rPh sb="0" eb="3">
      <t>シエンキン</t>
    </rPh>
    <rPh sb="3" eb="4">
      <t>ブン</t>
    </rPh>
    <phoneticPr fontId="1"/>
  </si>
  <si>
    <t>介護分</t>
    <rPh sb="0" eb="2">
      <t>カイゴ</t>
    </rPh>
    <rPh sb="2" eb="3">
      <t>ブン</t>
    </rPh>
    <phoneticPr fontId="1"/>
  </si>
  <si>
    <t>限度額</t>
    <rPh sb="0" eb="2">
      <t>ゲンド</t>
    </rPh>
    <rPh sb="2" eb="3">
      <t>ガク</t>
    </rPh>
    <phoneticPr fontId="1"/>
  </si>
  <si>
    <t>介護有無</t>
    <rPh sb="0" eb="2">
      <t>カイゴ</t>
    </rPh>
    <rPh sb="2" eb="4">
      <t>ウム</t>
    </rPh>
    <phoneticPr fontId="1"/>
  </si>
  <si>
    <t>軽減判定用</t>
    <rPh sb="0" eb="2">
      <t>ケイゲン</t>
    </rPh>
    <rPh sb="2" eb="5">
      <t>ハンテイヨウ</t>
    </rPh>
    <phoneticPr fontId="1"/>
  </si>
  <si>
    <t>保険料計算用</t>
    <rPh sb="0" eb="3">
      <t>ホケンリョウ</t>
    </rPh>
    <rPh sb="3" eb="6">
      <t>ケイサンヨウ</t>
    </rPh>
    <phoneticPr fontId="1"/>
  </si>
  <si>
    <t>料率参照用</t>
    <rPh sb="0" eb="2">
      <t>リョウリツ</t>
    </rPh>
    <rPh sb="2" eb="4">
      <t>サンショウ</t>
    </rPh>
    <rPh sb="4" eb="5">
      <t>ヨウ</t>
    </rPh>
    <phoneticPr fontId="1"/>
  </si>
  <si>
    <t>算定基礎額</t>
    <rPh sb="0" eb="2">
      <t>サンテイ</t>
    </rPh>
    <rPh sb="2" eb="4">
      <t>キソ</t>
    </rPh>
    <rPh sb="4" eb="5">
      <t>ガク</t>
    </rPh>
    <phoneticPr fontId="1"/>
  </si>
  <si>
    <t>所得-43万</t>
    <rPh sb="0" eb="2">
      <t>ショトク</t>
    </rPh>
    <rPh sb="5" eb="6">
      <t>マン</t>
    </rPh>
    <phoneticPr fontId="1"/>
  </si>
  <si>
    <t>合計</t>
    <rPh sb="0" eb="2">
      <t>ゴウケイ</t>
    </rPh>
    <phoneticPr fontId="1"/>
  </si>
  <si>
    <t>加入者数</t>
    <rPh sb="0" eb="2">
      <t>カニュウ</t>
    </rPh>
    <rPh sb="3" eb="4">
      <t>スウ</t>
    </rPh>
    <phoneticPr fontId="1"/>
  </si>
  <si>
    <t>7減</t>
    <rPh sb="1" eb="2">
      <t>ゲン</t>
    </rPh>
    <phoneticPr fontId="1"/>
  </si>
  <si>
    <t>5減</t>
    <rPh sb="1" eb="2">
      <t>ゲン</t>
    </rPh>
    <phoneticPr fontId="1"/>
  </si>
  <si>
    <t>2減</t>
    <rPh sb="1" eb="2">
      <t>ゲン</t>
    </rPh>
    <phoneticPr fontId="1"/>
  </si>
  <si>
    <t>判定用所得</t>
    <rPh sb="0" eb="3">
      <t>ハンテイヨウ</t>
    </rPh>
    <rPh sb="3" eb="5">
      <t>ショトク</t>
    </rPh>
    <phoneticPr fontId="1"/>
  </si>
  <si>
    <t>適用判定</t>
    <rPh sb="0" eb="2">
      <t>テキヨウ</t>
    </rPh>
    <rPh sb="2" eb="4">
      <t>ハンテイ</t>
    </rPh>
    <phoneticPr fontId="1"/>
  </si>
  <si>
    <t>適用割合</t>
    <rPh sb="0" eb="2">
      <t>テキヨウ</t>
    </rPh>
    <rPh sb="2" eb="4">
      <t>ワリアイ</t>
    </rPh>
    <phoneticPr fontId="1"/>
  </si>
  <si>
    <t>軽減後保険料</t>
    <rPh sb="0" eb="2">
      <t>ケイゲン</t>
    </rPh>
    <rPh sb="2" eb="3">
      <t>ゴ</t>
    </rPh>
    <rPh sb="3" eb="6">
      <t>ホケンリョウ</t>
    </rPh>
    <phoneticPr fontId="1"/>
  </si>
  <si>
    <t>計算用均等割</t>
    <rPh sb="0" eb="3">
      <t>ケイサンヨウ</t>
    </rPh>
    <rPh sb="3" eb="6">
      <t>キントウワリ</t>
    </rPh>
    <phoneticPr fontId="1"/>
  </si>
  <si>
    <r>
      <rPr>
        <b/>
        <sz val="14"/>
        <color theme="1"/>
        <rFont val="游ゴシック"/>
        <family val="3"/>
        <charset val="128"/>
        <scheme val="minor"/>
      </rPr>
      <t>円</t>
    </r>
    <r>
      <rPr>
        <sz val="14"/>
        <color theme="1"/>
        <rFont val="游ゴシック"/>
        <family val="2"/>
        <charset val="128"/>
        <scheme val="minor"/>
      </rPr>
      <t>です。</t>
    </r>
    <rPh sb="0" eb="1">
      <t>エン</t>
    </rPh>
    <phoneticPr fontId="1"/>
  </si>
  <si>
    <t>円</t>
    <rPh sb="0" eb="1">
      <t>エン</t>
    </rPh>
    <phoneticPr fontId="1"/>
  </si>
  <si>
    <t>←限度額適用後</t>
    <rPh sb="1" eb="3">
      <t>ゲンド</t>
    </rPh>
    <rPh sb="3" eb="4">
      <t>ガク</t>
    </rPh>
    <rPh sb="4" eb="6">
      <t>テキヨウ</t>
    </rPh>
    <rPh sb="6" eb="7">
      <t>ゴ</t>
    </rPh>
    <phoneticPr fontId="1"/>
  </si>
  <si>
    <t>J列選択用</t>
    <rPh sb="1" eb="2">
      <t>レツ</t>
    </rPh>
    <rPh sb="2" eb="5">
      <t>センタクヨウ</t>
    </rPh>
    <phoneticPr fontId="1"/>
  </si>
  <si>
    <t>給与</t>
    <rPh sb="0" eb="2">
      <t>キュウヨ</t>
    </rPh>
    <phoneticPr fontId="1"/>
  </si>
  <si>
    <t>年金</t>
    <rPh sb="0" eb="2">
      <t>ネンキン</t>
    </rPh>
    <phoneticPr fontId="1"/>
  </si>
  <si>
    <t>その他</t>
    <rPh sb="2" eb="3">
      <t>タ</t>
    </rPh>
    <phoneticPr fontId="1"/>
  </si>
  <si>
    <t>←100円未満繰り上げ</t>
    <rPh sb="4" eb="5">
      <t>エン</t>
    </rPh>
    <rPh sb="5" eb="7">
      <t>ミマン</t>
    </rPh>
    <rPh sb="7" eb="8">
      <t>ク</t>
    </rPh>
    <rPh sb="9" eb="10">
      <t>ア</t>
    </rPh>
    <phoneticPr fontId="1"/>
  </si>
  <si>
    <t xml:space="preserve"> ②年度途中で40歳・65歳・75歳になる（なった）方がいる世帯</t>
    <phoneticPr fontId="1"/>
  </si>
  <si>
    <t xml:space="preserve"> ③分離課税・繰越控除等の申告をした方がいる世帯</t>
    <phoneticPr fontId="1"/>
  </si>
  <si>
    <t xml:space="preserve"> ④専従者控除または専従者給与のある方がいる世帯</t>
    <phoneticPr fontId="1"/>
  </si>
  <si>
    <t xml:space="preserve"> ⑤非自発的失業にかかる保険料減額対象の方がいる世帯</t>
    <phoneticPr fontId="1"/>
  </si>
  <si>
    <t xml:space="preserve"> ①年度途中で国民健康保険に加入した方、やめた方がいる世帯</t>
    <rPh sb="18" eb="19">
      <t>ホウ</t>
    </rPh>
    <rPh sb="23" eb="24">
      <t>カタ</t>
    </rPh>
    <phoneticPr fontId="1"/>
  </si>
  <si>
    <t>軽減判定用</t>
    <rPh sb="0" eb="2">
      <t>ケイゲン</t>
    </rPh>
    <rPh sb="2" eb="5">
      <t>ハンテイヨウ</t>
    </rPh>
    <phoneticPr fontId="1"/>
  </si>
  <si>
    <t>選択▼</t>
    <rPh sb="0" eb="2">
      <t>センタク</t>
    </rPh>
    <phoneticPr fontId="1"/>
  </si>
  <si>
    <t xml:space="preserve"> 年齢</t>
    <phoneticPr fontId="1"/>
  </si>
  <si>
    <t>入力⌨</t>
    <rPh sb="0" eb="2">
      <t>ニュウリョク</t>
    </rPh>
    <phoneticPr fontId="1"/>
  </si>
  <si>
    <t>未就学児</t>
    <rPh sb="0" eb="4">
      <t>ミシュウガクジ</t>
    </rPh>
    <phoneticPr fontId="1"/>
  </si>
  <si>
    <t xml:space="preserve"> 届出が遅れた場合、保険料は資格取得した月（退職月）までさかのぼって発生しますが、</t>
    <rPh sb="1" eb="2">
      <t>トド</t>
    </rPh>
    <rPh sb="2" eb="3">
      <t>デ</t>
    </rPh>
    <rPh sb="4" eb="5">
      <t>オク</t>
    </rPh>
    <rPh sb="7" eb="9">
      <t>バアイ</t>
    </rPh>
    <rPh sb="10" eb="13">
      <t>ホケンリョウ</t>
    </rPh>
    <rPh sb="14" eb="16">
      <t>シカク</t>
    </rPh>
    <rPh sb="16" eb="18">
      <t>シュトク</t>
    </rPh>
    <rPh sb="20" eb="21">
      <t>ツキ</t>
    </rPh>
    <rPh sb="22" eb="24">
      <t>タイショク</t>
    </rPh>
    <rPh sb="24" eb="25">
      <t>ヅキ</t>
    </rPh>
    <rPh sb="34" eb="36">
      <t>ハッセイ</t>
    </rPh>
    <phoneticPr fontId="1"/>
  </si>
  <si>
    <t xml:space="preserve"> また、以下のいずれかに該当する世帯は、正確な保険料が計算されない場合があります。</t>
    <phoneticPr fontId="1"/>
  </si>
  <si>
    <t xml:space="preserve"> 納付は届出月以降から始まります。そのため、1回あたりの納付金額は高くなります。</t>
    <rPh sb="11" eb="12">
      <t>ハジ</t>
    </rPh>
    <phoneticPr fontId="1"/>
  </si>
  <si>
    <t>↑右が医療,支援,介護それぞれの均等割・所得割の合計　左が限度額適用後</t>
    <rPh sb="1" eb="2">
      <t>ミギ</t>
    </rPh>
    <rPh sb="3" eb="5">
      <t>イリョウ</t>
    </rPh>
    <rPh sb="6" eb="8">
      <t>シエン</t>
    </rPh>
    <rPh sb="9" eb="11">
      <t>カイゴ</t>
    </rPh>
    <rPh sb="16" eb="18">
      <t>キントウ</t>
    </rPh>
    <rPh sb="18" eb="19">
      <t>ワリ</t>
    </rPh>
    <rPh sb="20" eb="22">
      <t>ショトク</t>
    </rPh>
    <rPh sb="22" eb="23">
      <t>ワリ</t>
    </rPh>
    <rPh sb="24" eb="26">
      <t>ゴウケイ</t>
    </rPh>
    <phoneticPr fontId="1"/>
  </si>
  <si>
    <t>保険料計算用
（HP公開時は非表示）</t>
    <rPh sb="0" eb="3">
      <t>ホケンリョウ</t>
    </rPh>
    <rPh sb="3" eb="5">
      <t>ケイサン</t>
    </rPh>
    <rPh sb="5" eb="6">
      <t>ヨウ</t>
    </rPh>
    <rPh sb="10" eb="12">
      <t>コウカイ</t>
    </rPh>
    <rPh sb="12" eb="13">
      <t>ジ</t>
    </rPh>
    <rPh sb="14" eb="17">
      <t>ヒヒョウジ</t>
    </rPh>
    <phoneticPr fontId="1"/>
  </si>
  <si>
    <t>所得算出用</t>
    <rPh sb="0" eb="2">
      <t>ショトク</t>
    </rPh>
    <rPh sb="2" eb="4">
      <t>サンシュツ</t>
    </rPh>
    <rPh sb="4" eb="5">
      <t>ヨウ</t>
    </rPh>
    <phoneticPr fontId="1"/>
  </si>
  <si>
    <t>給与所得算出速算表</t>
    <rPh sb="0" eb="2">
      <t>キュウヨ</t>
    </rPh>
    <rPh sb="2" eb="4">
      <t>ショトク</t>
    </rPh>
    <rPh sb="4" eb="6">
      <t>サンシュツ</t>
    </rPh>
    <rPh sb="6" eb="8">
      <t>ソクサン</t>
    </rPh>
    <rPh sb="8" eb="9">
      <t>ヒョウ</t>
    </rPh>
    <phoneticPr fontId="1"/>
  </si>
  <si>
    <t>個人別年間保険料</t>
    <rPh sb="0" eb="2">
      <t>コジン</t>
    </rPh>
    <rPh sb="2" eb="3">
      <t>ベツ</t>
    </rPh>
    <rPh sb="3" eb="5">
      <t>ネンカン</t>
    </rPh>
    <rPh sb="5" eb="8">
      <t>ホケンリョウ</t>
    </rPh>
    <phoneticPr fontId="1"/>
  </si>
  <si>
    <t>加入月選択用</t>
    <rPh sb="0" eb="2">
      <t>カニュウ</t>
    </rPh>
    <rPh sb="2" eb="3">
      <t>ヅキ</t>
    </rPh>
    <rPh sb="3" eb="6">
      <t>センタクヨウ</t>
    </rPh>
    <phoneticPr fontId="1"/>
  </si>
  <si>
    <t>４月</t>
    <rPh sb="1" eb="2">
      <t>ガツ</t>
    </rPh>
    <phoneticPr fontId="1"/>
  </si>
  <si>
    <t>５月</t>
  </si>
  <si>
    <t>６月</t>
  </si>
  <si>
    <t>７月</t>
  </si>
  <si>
    <t>８月</t>
  </si>
  <si>
    <t>９月</t>
  </si>
  <si>
    <t>１０月</t>
  </si>
  <si>
    <t>１１月</t>
  </si>
  <si>
    <t>１２月</t>
  </si>
  <si>
    <t>１月</t>
  </si>
  <si>
    <t>２月</t>
  </si>
  <si>
    <t>３月</t>
  </si>
  <si>
    <t>年間</t>
    <rPh sb="0" eb="2">
      <t>ネンカン</t>
    </rPh>
    <phoneticPr fontId="1"/>
  </si>
  <si>
    <t>加入月から</t>
    <rPh sb="0" eb="2">
      <t>カニュウ</t>
    </rPh>
    <rPh sb="2" eb="3">
      <t>ヅキ</t>
    </rPh>
    <phoneticPr fontId="1"/>
  </si>
  <si>
    <t>一回あたりの納付金額は、約</t>
    <rPh sb="0" eb="2">
      <t>イッカイ</t>
    </rPh>
    <rPh sb="6" eb="8">
      <t>ノウフ</t>
    </rPh>
    <rPh sb="8" eb="10">
      <t>キンガク</t>
    </rPh>
    <rPh sb="12" eb="13">
      <t>ヤク</t>
    </rPh>
    <phoneticPr fontId="1"/>
  </si>
  <si>
    <t>営業</t>
    <rPh sb="0" eb="2">
      <t>エイギョウ</t>
    </rPh>
    <phoneticPr fontId="1"/>
  </si>
  <si>
    <r>
      <t>国保</t>
    </r>
    <r>
      <rPr>
        <b/>
        <sz val="12"/>
        <color theme="1"/>
        <rFont val="游ゴシック"/>
        <family val="3"/>
        <charset val="128"/>
        <scheme val="minor"/>
      </rPr>
      <t>に</t>
    </r>
    <r>
      <rPr>
        <b/>
        <sz val="14"/>
        <color theme="1"/>
        <rFont val="游ゴシック"/>
        <family val="3"/>
        <charset val="128"/>
        <scheme val="minor"/>
      </rPr>
      <t>加入</t>
    </r>
    <r>
      <rPr>
        <b/>
        <sz val="12"/>
        <color theme="1"/>
        <rFont val="游ゴシック"/>
        <family val="3"/>
        <charset val="128"/>
        <scheme val="minor"/>
      </rPr>
      <t>する</t>
    </r>
    <r>
      <rPr>
        <b/>
        <sz val="14"/>
        <color theme="1"/>
        <rFont val="游ゴシック"/>
        <family val="3"/>
        <charset val="128"/>
        <scheme val="minor"/>
      </rPr>
      <t>月</t>
    </r>
    <rPh sb="0" eb="2">
      <t>コクホ</t>
    </rPh>
    <rPh sb="3" eb="5">
      <t>カニュウ</t>
    </rPh>
    <rPh sb="7" eb="8">
      <t>ツキ</t>
    </rPh>
    <phoneticPr fontId="1"/>
  </si>
  <si>
    <t>年金65↓</t>
    <rPh sb="0" eb="2">
      <t>ネンキン</t>
    </rPh>
    <phoneticPr fontId="1"/>
  </si>
  <si>
    <t>年金65↑</t>
    <rPh sb="0" eb="2">
      <t>ネンキン</t>
    </rPh>
    <phoneticPr fontId="1"/>
  </si>
  <si>
    <r>
      <t>公的年金速算表(65歳</t>
    </r>
    <r>
      <rPr>
        <b/>
        <sz val="11"/>
        <color theme="1"/>
        <rFont val="游ゴシック"/>
        <family val="3"/>
        <charset val="128"/>
        <scheme val="minor"/>
      </rPr>
      <t>未満</t>
    </r>
    <r>
      <rPr>
        <sz val="11"/>
        <color theme="1"/>
        <rFont val="游ゴシック"/>
        <family val="2"/>
        <charset val="128"/>
        <scheme val="minor"/>
      </rPr>
      <t>)</t>
    </r>
    <rPh sb="0" eb="2">
      <t>コウテキ</t>
    </rPh>
    <rPh sb="2" eb="4">
      <t>ネンキン</t>
    </rPh>
    <rPh sb="4" eb="6">
      <t>ソクサン</t>
    </rPh>
    <rPh sb="6" eb="7">
      <t>ヒョウ</t>
    </rPh>
    <rPh sb="10" eb="11">
      <t>サイ</t>
    </rPh>
    <rPh sb="11" eb="13">
      <t>ミマン</t>
    </rPh>
    <phoneticPr fontId="1"/>
  </si>
  <si>
    <r>
      <t>公的年金速算表(65歳</t>
    </r>
    <r>
      <rPr>
        <b/>
        <sz val="11"/>
        <color theme="1"/>
        <rFont val="游ゴシック"/>
        <family val="3"/>
        <charset val="128"/>
        <scheme val="minor"/>
      </rPr>
      <t>以上</t>
    </r>
    <r>
      <rPr>
        <sz val="11"/>
        <color theme="1"/>
        <rFont val="游ゴシック"/>
        <family val="2"/>
        <charset val="128"/>
        <scheme val="minor"/>
      </rPr>
      <t>)</t>
    </r>
    <rPh sb="10" eb="11">
      <t>サイ</t>
    </rPh>
    <rPh sb="11" eb="13">
      <t>イジョウ</t>
    </rPh>
    <phoneticPr fontId="1"/>
  </si>
  <si>
    <t>※「年金所得以外の所得に係る合計所得金額」は1000万以下を想定</t>
    <phoneticPr fontId="1"/>
  </si>
  <si>
    <t>65歳以上の
年金－15万　　　　　　　　　　　　　　　　　　　　　　　　　　　　　　　　　　　　　　　　　　　　　　　　　　　　　　　　　　　　　　　　　　　　　　　　　　　　　　　　　　　　　　　　　　　　　　　　　　　　　　　　　　　　　　　　　　　　　　　　　　　　　　　　　　　　　　　　　　　　　　　　　　　　　　　　　　　　　　　　　　　　　　　　　　　　　　　　　　　　　　　　　　　　　　　　　　　　　　　　　　　　　　　　　　　　　　　　　　　　　　　　　　　　　　　　　　　　　　　　　　　　　　　　　　　　　　　　　　　　　　　　　　　　　　　　　　　　　　　　　　　　　　　　　　　　　　　　　　　　　　　　　　　　　　　　　　　　　　　　　　　　　　　　　　　　　　　　　　　　　　　　　　　　　　　　　　　　　　　　　　　　　　　　　　　　　　　　　　　　　　　　　　　　　　　　　　　　　　　　　　　　　　　　　　　　　　　　　　　　　　　　　　　　　　　　　　　　　　　　　　　　　　　　　　　　　　　　　　　　　　　　　　　　　　　　　　　　　　　　　　　　　　　　　　　　　　　　　　　　　　　　　　　　　　　　　　　　　　　　　　　　　　　　　　　　　　　　　　　　　　　　　　　　　　　　　　　　　　　　　　　　　　　　　　　　　　　　　　　　　　　　　　　　　　　　　　　　　　　　　　　　　　　　　　　　　　　　　　　　　　　　　　　　　　　　　　　　　　　　　　　　　　　　　　　　　　　　　　　　　　　　　　　　　　　　　　　　　　　　　　　　　　　　　　　　　　　　　　　　　　　　　　　　　　　　　　　　　　　　　　　　　　　　　　　　　　　　　　　　　　　　　　　　　　　　　　　　　　　　　　　　　　　　　　　　　　　　　　　　　　　　　　　　　　　　　　　　　　　　　　　　　　　　　　　　　　　　　　　　　　　　　　　　　　　　　　　　　　　　　　　　　　　　　　　　　　　　　　　　　　　　　　　　　　　　　　　　　　　　　　　　　　　　　　　　　　　　　　　　　　　　　　　　　　　　　　　　　　　　　　　　　　　　　　　　　　　　　　　　　　　　　　　　　　　　　　　　　　　　　　　　　　　　　　　　　　　　　　　　　　　　　　　　　　　　　　　　　　　　　　　　　　　　　　　　　　　　　　　　　　　　　　　　　　　　　　　　　　　　　　　　　　　　　　　　　　　　　　　　　　　　　　　　　　　　　　　　　　　　　　　　　　　　　　　　　　　　　　　　　　　　　　　　　　　　　　　　　　　　　　　　　　　　　　　　　　　　　　　　　　　　　　　　　　　　　　　　　　　　　　　　　　　　　　　　　　　　　　　　　　　　　　　　　　　　　　　　　　　　　　　　　　　　　　　　　　　　　　　　　　　　　　　　　　　　　　　　　　　　　　　　　　　　　　　　　　　　　　　　　　　　　　　　　　　　　　　　　　　　　　　　　　　　　　　　　　　　　　　　　　　　　　　　　　　　　　　　　　　　　　　　　　　　　　　　　　　　　　　　　　　　　　　　　　　　　　　　　　　　　　　　　　　　　　　　　　　　　　　　　　　　　　　　　　　　　　　　　　　　　　　　　　　　　　　　　　　　　　　　　　　　　　　　　　　　　　　　　　　　　　　　　　　　　　　　　　　　　　　　　　　　　　　　　　　　　　　　　　　　　　　　　　　　　　　　　　　　　　　　　　　　　　　　　　　　　　　　　　　　　　　　　　　　　　　　　　　　　　　　　　　　　　　　　　　　　　　　　　　　　　　　　　　　　　　　　　　　　　　　　　　　　　　　　　　　　　　　　　　　　　　　　　　　　　　　　　　　　　　　　　　　　　　　　　　　　　　　　　　　　　　　　　　　　　　　　　　　　　　　　　　　　　　　　　　　　　　　　　　　　　　　　　　　　　　　　　　　　　　　　　　　　　　　　　　　　　　　　　　　　　　　　　　　　　　　　　　　　　　　　　　　　　　　　　　　　　　　　　　　　　　　　　　　　　　　　　　　　　　　　　　　　　　　　　　　　　　　　　　　　　　　　　　　　　　　　　　　　　　　　　　　　　　　　　　　　　　　　　　　　　　　　　　　　　　　　　　　　　　　　　　　　　　　　　　　　　　　　　　　　　　　　　　　　　　　　　　　　　　　　　　　　　　　　　　　　　　　　　　　　　　　　　　　　　　　　　　　　　　　　　　　　　　　　　　　　　　　　　　　　　　　　　　　　　　　　　　　　　　　　　　　　　　　　　　　　　　　　　　　　　　　　　　　　　　　　　　　　　　　　　　　　　　　　　　　　　　　　　　　　　　　　　　　　　　　　　　　　　　　　　　　　　　　　　　　　　　　　　　　　　　　　　　　　　　　　　　　　　　　　　　　　　　　　　　　　　　　　　　　　　　　　　　　　　　　　　　　　　　　　　　　　　　　　　　　　　　　　　　　　　　　　　　　　　　　　　　　　　　　　　　　　　　　　　　　　　　　　　　　　　　　　　　　　　　　　　　　　　　　　　　　　　　　　　　　　　　　　　　　　　　　　　　　　　　　　　　　　　　　　　　　　　　　　　　　　　　　　　　　　　　　　　　　　　　　　　　　　　　　　　　　　　　　　　　　　　　　　　　　　　　　　　　　　　　　　　　　　　　　　　　　　　　　　　　　　　　　　　　　　　　　　　　　　　　　　　　　　　　　　　　　　　　　　　　　　　　　　　　　　　　　　　　　　　　　　　　　　　　　　　　　　　　　　　　　　　　　　　　　　　　　　　　　　　　　　　　　　　　　　　　　　　　　　　　　　　　　　　　　　　　　　　　　　　　　　　　　　　　　　　　　　　　　　　　　　　　　　　　　　　　　　　　　　　　　　　　　　　　　　　　　　　　　　　　　　　　　　　　　　　　　　　　　　　　　　　　　　　　　　　　　　　　　　　　　　　　　　　　　　　　　　　　　　　　　　　　　　　　　　　　　　　　　　　　　　　　　　　　　　　　　　　　　　　　　　　　　　　　　　　　　　　　　　　　　　　　　　　　　　　　　　　　　　　　　　　　　　　　　　　　　　　　　　　　　　　　　　　　　　　　　　　　　　　　　　　　　　　　　　　　　　　　　　　　　　　　　　　　　　　　　　　　　　　　　　　　　　　　　　　　　　　　　　　　　　　　　　　　　　　　　　　　　　　　　　　　　　　　　　　　　　　　　　　　　　　　　　　　　　　　　　　　　　　　　　　　　　　　　　　　　　　　　　　　　　　　　　　　　　　　　　　　　　　　　　　　　　　　　　　　　　　　　　　　　　　　　　　　　　　　　　　　　　　　　　　　　　　　　　　　　　　　　　　　　　　　　　　　　　　　　　　　　　　　　　　　　　　　　　　　　　　　　　　　　　　　　　　　　　　　　　　　　　　　　　　　　　　　　　　　　　　　　　　　　　　　　　　　　　　　　　　　　　　　　　　　　　　　　　　　　　　　　　　　　　　　　　　　　　　　　　　　　　　　　　　　　　　　　　　　　　　　　　　　　　　　　　　　　　　　　　　　　　　　　　　　　　　　　　　　　　　　　　　　　　　　　　　　　　　　　　　　　　　　　　　　　　　　　　　　　　　　　　　　　　　　　　　　　　　　　　　　　　　　　　　　　　　　　　　　　　　　　　　　　　　　　　　　　　　　　　　　　　　　　　　　　　　　　　　　　　　　　　　　　　　　　　　　　　　　　　　　　　　　　　　　　　　　　　　　　　　　　　　　　　　　　　　　　　　　　　　　　　　　　　　　　　　　　　　　　　　　　　　　　　　　　　　　　　　　　　　　　　　　　　　　　　　　　　　　　　　　　　　　　　　　　　　　　　　　　　　　　　　　　　　　　　　　　　　　　　　　　　　　　　　　　　　　　　　　　　　　　　　　　　　　　　　　　　　　　　　　　　　　　　　　　　　　　　　　　　　　　　　　　　　　　　　　　　　　　　　　　　　　　　　　　　　　　　　　　　　　　　　　　　　　　　　　　　　　　　　　　　　　　　　　　　　　　　　　　　　　　　　　　　　　　　　　　　　　　　　　　　　　　　　　　　　　　　　　　　　　　　　　　　　　　　　　　　　　　　　　　　　　　　　　　　　　　　　　　　　　　　　　　　　　　　　　　　　　　　　　　　　　　　　　　　　　　　　　　　　　　　　　　　　　　　　　　　　　　　　　　　　　　　　　　　　　　　　　　　　　　　　　　　　　　　　　　　　　　　　　　　　　　　　　　　　　　　　　　　　　　　　　　　　　　　　　　　　　　　　　　　　　　　　　　　　　　　　　　　　　　　　　　　　　　　　　　　　　　　　　　　　　　　　　　　　　　　　　　　　　　　　　　　　　　　　　　　　　　　　　　　　　　　　　　　　　　　　　　　　　　　　　　　　　　　　　　　　　　　　　　　　　　　　　　　　　　　　　　　　　　　　　　　　　　　　　　　　　　　　　　　　　　　　　　　　　　　　　　　　　　　　　　　　　　　　　　　　　　　　　　　　　　　　　　　　　　　　　　　　　　　　　　　　　　　　　　　　　　　　　　　　　　　　　　　　　　　　　　　　　　　　　　　　　　　　　　　　　　　　　　　　　　　　　　　　　　　　　　　　　　　　　　　　　　　　　　　　　　　　　　　　　　　　　　　　　　　　　　　　　　　　　　　　　　　　　　　　　　　　　　　　　　　　　　　　　　　　　　　　　　　　　　　　　　　　　　　　　　　　　　　　　　　　　　　　　　　　　　　　　　　　　　　　　　　　　　　　　　　　　　　　　　　　　　　　　　　　　　　　　　　　　　　　　　　　　　　　　　　　　　　　　　　　　　　　　　　　　　　　　　　　　　　　　　　　　　　　　　　　　　　　　　　　　　　　　　　　　　　　　　　　　　　　　　　　　　　　　　　　　　　　　　　　　　　　　　　　　　　　　　　　　　　　　　　　　　　　　　　　　　　　　　　　　　　　　　　　　　　　　　　　　　　　　　　　　　　　　　　　　　　　　　　　　　　　　　　　　　　　　　　　　　　　　　　　　　　　　　　　　　　　　　　　　　　　　　　　　　　　　　　　　　　　　　　　　　　　　　　　　　　　　　　　　　　　　　　　　　　　　　　　　　　　　　　　　　　　　　　　　　　　　　　　　　　　　　　　　　　　　　　　　　　　　　　　　　　　　　　　　　　　　　　　　　　　　　　　　　　　　　　　　　　　　　　　　　　　　　　　　　　　　　　　　　　　　　　　　　　　　　　　　　　　　　　　　　　　　　　　　　　　　　　　　　　　　　　　　　　　　　　　　　　　　　　　　　　　　　　　　　　　　　　　　　　　　　　　　　　　　　　　　　　　　　　　　　　　　　　　　　　　　　　　　　　　　　　　　　　　　　　　　　　　　　　　　　　　　　　　　　　　　　　　　　　　　　　　　　　　　　　　　　　　　　　　　　　　　　　　　　　　　　　　　　　　　　　　　　　　　　　　　　　　　　　　　　　　　　　　　　　　　　　　　　　　　　　　　　　　　　　　　　　　　　　　　　　　　　　　　　　　　　　　　　　　　　　　　　　　　　　　　　　　　　　　　　　　　　　　　　　　　　　　　　　　　　　　　　　　　　　　　　　　　　　　　　　　　　　　　　　　　　　　　　　　　　　　　　　　　　　　　　　　　　　　　　　　　　　　　　　　　　　　　　　　　　　　　　　　　　　　　　　　　　　　　　　　　　　　　　　　　　　　　　　　　　　　　　　　　　　　　　　　　　　　　　　　　　　　　　　　　　　　　　　　　　　　　　　　　　　　　　　　　　　　　　　　　　　　　　　　　　　　　　　　　　　　　　　　　　　　　　　　　　　　　　　　　　　　　　　　　　　　　　　　　　　　　　　　　　　　　　　　　　　　　　　　　　　　　　　　　　　　　　　　　　　　　　　　　　　　　　　　　　　　　　　　　　　　　　　　　　　　　　　　　　　　　　　　　　　　　　　　　　　　　　　　　　　　　　　　　　　　　　　　　　　　　　　　　　　　　　　　　　　　　　　　　　　　　　　　　　　　　　　　　　　　　　　　　　　　　　　　　　　　　　　　　　　　　　　　　　　　　　　　　　　　　　　　　　　　　　　　　　　　　　　　　　　　　　　　　　　　　　　　　　　　　　　　　　　　　　　　　　　　　　　　　　　　　　　　　　　　　　　　　　　　　　　　　　　　　　　　　　　　　　　　　　　　　　　　　　　　　　　　　　　　　　　　　　　　　　　　　　　　　　　　　　　　　　　　　　　　　　　　　　　　　　　　　　　　　　　　　　　　　　　　　　　　　　　　　　　　　　　　　　　　　　　　　　　　　　　　　　　　　　　　　　　　　　　　　　　　　　　　　　　　　　　　　　　　　　　　　　　　　　　　　　　　　　　　　　　　　　　　　　　　　　　　　　　　　　　　　　　　　　　　　　　　　　　　　　　　　　　　　　　　　　</t>
    <phoneticPr fontId="1"/>
  </si>
  <si>
    <t>給与所得者等</t>
    <rPh sb="0" eb="2">
      <t>キュウヨ</t>
    </rPh>
    <rPh sb="2" eb="4">
      <t>ショトク</t>
    </rPh>
    <rPh sb="4" eb="5">
      <t>シャ</t>
    </rPh>
    <rPh sb="5" eb="6">
      <t>トウ</t>
    </rPh>
    <phoneticPr fontId="1"/>
  </si>
  <si>
    <t>(参照用)</t>
    <rPh sb="1" eb="4">
      <t>サンショウヨウ</t>
    </rPh>
    <phoneticPr fontId="1"/>
  </si>
  <si>
    <t xml:space="preserve"> 通常の保険料の納付は、６月から翌年３月の年１０回です。</t>
    <rPh sb="1" eb="3">
      <t>ツウジョウ</t>
    </rPh>
    <rPh sb="4" eb="7">
      <t>ホケンリョウ</t>
    </rPh>
    <rPh sb="8" eb="10">
      <t>ノウフ</t>
    </rPh>
    <rPh sb="13" eb="14">
      <t>ガツ</t>
    </rPh>
    <rPh sb="16" eb="17">
      <t>ヨク</t>
    </rPh>
    <rPh sb="17" eb="18">
      <t>ネン</t>
    </rPh>
    <rPh sb="19" eb="20">
      <t>ガツ</t>
    </rPh>
    <rPh sb="21" eb="22">
      <t>ネン</t>
    </rPh>
    <rPh sb="24" eb="25">
      <t>カイ</t>
    </rPh>
    <phoneticPr fontId="1"/>
  </si>
  <si>
    <r>
      <rPr>
        <b/>
        <sz val="12"/>
        <color theme="1"/>
        <rFont val="游ゴシック"/>
        <family val="3"/>
        <charset val="128"/>
        <scheme val="minor"/>
      </rPr>
      <t>円</t>
    </r>
    <r>
      <rPr>
        <sz val="12"/>
        <color theme="1"/>
        <rFont val="游ゴシック"/>
        <family val="2"/>
        <charset val="128"/>
        <scheme val="minor"/>
      </rPr>
      <t>です。</t>
    </r>
    <rPh sb="0" eb="1">
      <t>エン</t>
    </rPh>
    <phoneticPr fontId="1"/>
  </si>
  <si>
    <t>（※</t>
    <phoneticPr fontId="1"/>
  </si>
  <si>
    <r>
      <t>収入</t>
    </r>
    <r>
      <rPr>
        <b/>
        <sz val="12"/>
        <color theme="1"/>
        <rFont val="游ゴシック"/>
        <family val="3"/>
        <charset val="128"/>
        <scheme val="minor"/>
      </rPr>
      <t>の</t>
    </r>
    <r>
      <rPr>
        <b/>
        <sz val="13"/>
        <color theme="1"/>
        <rFont val="游ゴシック"/>
        <family val="3"/>
        <charset val="128"/>
        <scheme val="minor"/>
      </rPr>
      <t>種類</t>
    </r>
    <rPh sb="0" eb="2">
      <t>シュウニュウ</t>
    </rPh>
    <rPh sb="3" eb="5">
      <t>シュルイ</t>
    </rPh>
    <phoneticPr fontId="1"/>
  </si>
  <si>
    <r>
      <rPr>
        <sz val="11"/>
        <color theme="1"/>
        <rFont val="HGPｺﾞｼｯｸE"/>
        <family val="3"/>
        <charset val="128"/>
      </rPr>
      <t>↑</t>
    </r>
    <r>
      <rPr>
        <b/>
        <sz val="11"/>
        <color theme="9" tint="-0.499984740745262"/>
        <rFont val="HGPｺﾞｼｯｸE"/>
        <family val="3"/>
        <charset val="128"/>
      </rPr>
      <t>太枠の</t>
    </r>
    <r>
      <rPr>
        <sz val="11"/>
        <color theme="1"/>
        <rFont val="HGPｺﾞｼｯｸE"/>
        <family val="3"/>
        <charset val="128"/>
      </rPr>
      <t>中を選択・入力してください</t>
    </r>
    <rPh sb="1" eb="3">
      <t>フトワク</t>
    </rPh>
    <rPh sb="4" eb="5">
      <t>ナカ</t>
    </rPh>
    <rPh sb="6" eb="8">
      <t>センタク</t>
    </rPh>
    <rPh sb="9" eb="11">
      <t>ニュウリョク</t>
    </rPh>
    <phoneticPr fontId="1"/>
  </si>
  <si>
    <t>末までに加入の届出をした場合）</t>
    <phoneticPr fontId="1"/>
  </si>
  <si>
    <r>
      <rPr>
        <b/>
        <sz val="17.5"/>
        <color theme="1"/>
        <rFont val="游ゴシック"/>
        <family val="3"/>
        <charset val="128"/>
        <scheme val="minor"/>
      </rPr>
      <t xml:space="preserve"> 注 意 事 項</t>
    </r>
    <r>
      <rPr>
        <b/>
        <sz val="10"/>
        <color theme="1"/>
        <rFont val="游ゴシック"/>
        <family val="3"/>
        <charset val="128"/>
        <scheme val="minor"/>
      </rPr>
      <t xml:space="preserve">　   </t>
    </r>
    <r>
      <rPr>
        <b/>
        <sz val="14"/>
        <color theme="1"/>
        <rFont val="游ゴシック"/>
        <family val="3"/>
        <charset val="128"/>
        <scheme val="minor"/>
      </rPr>
      <t>※必ずお読みください</t>
    </r>
    <rPh sb="1" eb="2">
      <t>チュウ</t>
    </rPh>
    <rPh sb="3" eb="4">
      <t>イ</t>
    </rPh>
    <rPh sb="5" eb="6">
      <t>コト</t>
    </rPh>
    <rPh sb="7" eb="8">
      <t>コウ</t>
    </rPh>
    <rPh sb="13" eb="14">
      <t>カナラ</t>
    </rPh>
    <rPh sb="16" eb="17">
      <t>ヨ</t>
    </rPh>
    <phoneticPr fontId="1"/>
  </si>
  <si>
    <t>収入なし</t>
    <rPh sb="0" eb="2">
      <t>シュウニュウ</t>
    </rPh>
    <phoneticPr fontId="1"/>
  </si>
  <si>
    <t>限度額判定</t>
    <rPh sb="0" eb="2">
      <t>ゲンド</t>
    </rPh>
    <rPh sb="2" eb="3">
      <t>ガク</t>
    </rPh>
    <rPh sb="3" eb="5">
      <t>ハンテイ</t>
    </rPh>
    <phoneticPr fontId="1"/>
  </si>
  <si>
    <t>加入月判定</t>
    <rPh sb="0" eb="2">
      <t>カニュウ</t>
    </rPh>
    <rPh sb="2" eb="3">
      <t>ヅキ</t>
    </rPh>
    <rPh sb="3" eb="5">
      <t>ハンテイ</t>
    </rPh>
    <phoneticPr fontId="1"/>
  </si>
  <si>
    <t>給与所得者等の数-1</t>
    <rPh sb="0" eb="2">
      <t>キュウヨ</t>
    </rPh>
    <rPh sb="2" eb="4">
      <t>ショトク</t>
    </rPh>
    <rPh sb="4" eb="5">
      <t>シャ</t>
    </rPh>
    <rPh sb="5" eb="6">
      <t>トウ</t>
    </rPh>
    <rPh sb="7" eb="8">
      <t>カズ</t>
    </rPh>
    <phoneticPr fontId="1"/>
  </si>
  <si>
    <t>↑軽減判定の基準が変更になった時は、関数を直接変更してください。</t>
    <rPh sb="1" eb="3">
      <t>ケイゲン</t>
    </rPh>
    <rPh sb="3" eb="5">
      <t>ハンテイ</t>
    </rPh>
    <rPh sb="6" eb="8">
      <t>キジュン</t>
    </rPh>
    <rPh sb="9" eb="11">
      <t>ヘンコウ</t>
    </rPh>
    <rPh sb="15" eb="16">
      <t>トキ</t>
    </rPh>
    <rPh sb="18" eb="20">
      <t>カンスウ</t>
    </rPh>
    <rPh sb="21" eb="23">
      <t>チョクセツ</t>
    </rPh>
    <rPh sb="23" eb="25">
      <t>ヘンコウ</t>
    </rPh>
    <phoneticPr fontId="1"/>
  </si>
  <si>
    <r>
      <t xml:space="preserve"> この計算結果はあくまでも試算であり</t>
    </r>
    <r>
      <rPr>
        <b/>
        <u/>
        <sz val="9"/>
        <color rgb="FFFF0000"/>
        <rFont val="游ゴシック"/>
        <family val="3"/>
        <charset val="128"/>
        <scheme val="minor"/>
      </rPr>
      <t>、</t>
    </r>
    <r>
      <rPr>
        <b/>
        <u/>
        <sz val="12"/>
        <color rgb="FFFF0000"/>
        <rFont val="游ゴシック"/>
        <family val="3"/>
        <charset val="128"/>
        <scheme val="minor"/>
      </rPr>
      <t>実際の保険料とは異なる場合があります</t>
    </r>
    <rPh sb="3" eb="5">
      <t>ケイサン</t>
    </rPh>
    <rPh sb="5" eb="7">
      <t>ケッカ</t>
    </rPh>
    <rPh sb="13" eb="15">
      <t>シサン</t>
    </rPh>
    <rPh sb="19" eb="21">
      <t>ジッサイ</t>
    </rPh>
    <rPh sb="22" eb="25">
      <t>ホケンリョウ</t>
    </rPh>
    <rPh sb="27" eb="28">
      <t>コト</t>
    </rPh>
    <rPh sb="30" eb="32">
      <t>バアイ</t>
    </rPh>
    <phoneticPr fontId="1"/>
  </si>
  <si>
    <t xml:space="preserve"> 世帯主の国保加入      </t>
    <rPh sb="1" eb="4">
      <t>セタイヌシ</t>
    </rPh>
    <rPh sb="5" eb="7">
      <t>コクホ</t>
    </rPh>
    <rPh sb="7" eb="9">
      <t>カニュウ</t>
    </rPh>
    <phoneticPr fontId="1"/>
  </si>
  <si>
    <t>個人別年間保険料算出用</t>
    <rPh sb="0" eb="2">
      <t>コジン</t>
    </rPh>
    <rPh sb="2" eb="3">
      <t>ベツ</t>
    </rPh>
    <rPh sb="3" eb="5">
      <t>ネンカン</t>
    </rPh>
    <rPh sb="5" eb="8">
      <t>ホケンリョウ</t>
    </rPh>
    <rPh sb="8" eb="10">
      <t>サンシュツ</t>
    </rPh>
    <rPh sb="10" eb="11">
      <t>ヨウ</t>
    </rPh>
    <phoneticPr fontId="1"/>
  </si>
  <si>
    <t xml:space="preserve"> ⑧前年の合計所得金額が2,400万円を超える方がいる世帯</t>
    <phoneticPr fontId="1"/>
  </si>
  <si>
    <t xml:space="preserve"> ⑨後期高齢者医療制度に切り替わる前に国保に加入していた方がいる世帯</t>
    <rPh sb="2" eb="4">
      <t>コウキ</t>
    </rPh>
    <rPh sb="4" eb="7">
      <t>コウレイシャ</t>
    </rPh>
    <rPh sb="7" eb="9">
      <t>イリョウ</t>
    </rPh>
    <rPh sb="9" eb="11">
      <t>セイド</t>
    </rPh>
    <rPh sb="12" eb="13">
      <t>キ</t>
    </rPh>
    <rPh sb="14" eb="15">
      <t>カ</t>
    </rPh>
    <rPh sb="17" eb="18">
      <t>マエ</t>
    </rPh>
    <rPh sb="19" eb="21">
      <t>コクホ</t>
    </rPh>
    <rPh sb="22" eb="24">
      <t>カニュウ</t>
    </rPh>
    <rPh sb="28" eb="29">
      <t>カタ</t>
    </rPh>
    <rPh sb="32" eb="34">
      <t>セタイ</t>
    </rPh>
    <phoneticPr fontId="1"/>
  </si>
  <si>
    <t xml:space="preserve"> ⑥産前産後の保険料免除対象の方がいる世帯</t>
    <rPh sb="2" eb="4">
      <t>サンゼン</t>
    </rPh>
    <rPh sb="4" eb="6">
      <t>サンゴ</t>
    </rPh>
    <rPh sb="7" eb="10">
      <t>ホケンリョウ</t>
    </rPh>
    <rPh sb="10" eb="12">
      <t>メンジョ</t>
    </rPh>
    <rPh sb="12" eb="14">
      <t>タイショウ</t>
    </rPh>
    <rPh sb="15" eb="16">
      <t>カタ</t>
    </rPh>
    <rPh sb="19" eb="21">
      <t>セタイ</t>
    </rPh>
    <phoneticPr fontId="1"/>
  </si>
  <si>
    <r>
      <t>あなたの世帯の</t>
    </r>
    <r>
      <rPr>
        <b/>
        <sz val="17"/>
        <color theme="1"/>
        <rFont val="游ゴシック"/>
        <family val="3"/>
        <charset val="128"/>
        <scheme val="minor"/>
      </rPr>
      <t>令和6年度の年間保険料</t>
    </r>
    <r>
      <rPr>
        <sz val="14"/>
        <color theme="1"/>
        <rFont val="游ゴシック"/>
        <family val="2"/>
        <charset val="128"/>
        <scheme val="minor"/>
      </rPr>
      <t>は</t>
    </r>
    <r>
      <rPr>
        <sz val="12"/>
        <color theme="1"/>
        <rFont val="游ゴシック"/>
        <family val="3"/>
        <charset val="128"/>
        <scheme val="minor"/>
      </rPr>
      <t>、</t>
    </r>
    <r>
      <rPr>
        <sz val="14"/>
        <color theme="1"/>
        <rFont val="游ゴシック"/>
        <family val="2"/>
        <charset val="128"/>
        <scheme val="minor"/>
      </rPr>
      <t>おおよそ</t>
    </r>
    <rPh sb="4" eb="6">
      <t>セタイ</t>
    </rPh>
    <rPh sb="7" eb="9">
      <t>レイワ</t>
    </rPh>
    <rPh sb="10" eb="11">
      <t>ネン</t>
    </rPh>
    <rPh sb="11" eb="12">
      <t>ド</t>
    </rPh>
    <rPh sb="13" eb="15">
      <t>ネンカン</t>
    </rPh>
    <rPh sb="15" eb="18">
      <t>ホケンリョウ</t>
    </rPh>
    <phoneticPr fontId="1"/>
  </si>
  <si>
    <t xml:space="preserve"> ⑦前年の所得を申告していない方がいる世帯</t>
    <rPh sb="2" eb="4">
      <t>ゼンネン</t>
    </rPh>
    <phoneticPr fontId="1"/>
  </si>
  <si>
    <t xml:space="preserve"> ⑩前年に公的年金収入があり、かつ年金以外の所得が1,000万円を超える方がいる世帯</t>
    <rPh sb="2" eb="4">
      <t>ゼンネン</t>
    </rPh>
    <rPh sb="5" eb="7">
      <t>コウテキ</t>
    </rPh>
    <rPh sb="7" eb="9">
      <t>ネンキン</t>
    </rPh>
    <rPh sb="9" eb="11">
      <t>シュウニュウ</t>
    </rPh>
    <rPh sb="17" eb="19">
      <t>ネンキン</t>
    </rPh>
    <rPh sb="19" eb="21">
      <t>イガイ</t>
    </rPh>
    <rPh sb="22" eb="24">
      <t>ショトク</t>
    </rPh>
    <rPh sb="30" eb="32">
      <t>マンエン</t>
    </rPh>
    <rPh sb="33" eb="34">
      <t>コ</t>
    </rPh>
    <rPh sb="36" eb="37">
      <t>カタ</t>
    </rPh>
    <rPh sb="40" eb="42">
      <t>セタイ</t>
    </rPh>
    <phoneticPr fontId="1"/>
  </si>
  <si>
    <t>　令和5年(1∼12月)の収入</t>
    <rPh sb="1" eb="3">
      <t>レイワ</t>
    </rPh>
    <rPh sb="4" eb="5">
      <t>ネン</t>
    </rPh>
    <rPh sb="10" eb="11">
      <t>ガツ</t>
    </rPh>
    <rPh sb="13" eb="15">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</si>
</sst>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9" tint="-0.249977111117893"/>
      <name val="游ゴシック"/>
      <family val="2"/>
      <charset val="128"/>
      <scheme val="minor"/>
    </font>
    <font>
      <sz val="10"/>
      <color theme="9" tint="-0.249977111117893"/>
      <name val="游ゴシック"/>
      <family val="2"/>
      <charset val="128"/>
      <scheme val="minor"/>
    </font>
    <font>
      <sz val="9"/>
      <color theme="1"/>
      <name val="游ゴシック"/>
      <family val="2"/>
      <charset val="128"/>
      <scheme val="minor"/>
    </font>
    <font>
      <sz val="11"/>
      <color theme="9" tint="-0.249977111117893"/>
      <name val="游ゴシック"/>
      <family val="3"/>
      <charset val="128"/>
      <scheme val="minor"/>
    </font>
    <font>
      <sz val="10"/>
      <color theme="9" tint="-0.249977111117893"/>
      <name val="游ゴシック"/>
      <family val="3"/>
      <charset val="128"/>
      <scheme val="minor"/>
    </font>
    <font>
      <sz val="10"/>
      <color theme="1"/>
      <name val="游ゴシック"/>
      <family val="3"/>
      <charset val="128"/>
      <scheme val="minor"/>
    </font>
    <font>
      <b/>
      <sz val="11"/>
      <color theme="9" tint="-0.249977111117893"/>
      <name val="游ゴシック"/>
      <family val="3"/>
      <charset val="128"/>
      <scheme val="minor"/>
    </font>
    <font>
      <sz val="10"/>
      <color theme="1"/>
      <name val="游ゴシック"/>
      <family val="2"/>
      <charset val="128"/>
      <scheme val="minor"/>
    </font>
    <font>
      <b/>
      <sz val="20"/>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1"/>
      <color rgb="FFFF0000"/>
      <name val="HGPｺﾞｼｯｸM"/>
      <family val="3"/>
      <charset val="128"/>
    </font>
    <font>
      <b/>
      <sz val="11"/>
      <color rgb="FFFF0000"/>
      <name val="HGPｺﾞｼｯｸM"/>
      <family val="3"/>
      <charset val="128"/>
    </font>
    <font>
      <sz val="11"/>
      <color theme="1"/>
      <name val="HGPｺﾞｼｯｸM"/>
      <family val="3"/>
      <charset val="128"/>
    </font>
    <font>
      <sz val="12"/>
      <color theme="1"/>
      <name val="HGPｺﾞｼｯｸM"/>
      <family val="3"/>
      <charset val="128"/>
    </font>
    <font>
      <sz val="12"/>
      <name val="HGPｺﾞｼｯｸM"/>
      <family val="3"/>
      <charset val="128"/>
    </font>
    <font>
      <sz val="11"/>
      <color theme="1"/>
      <name val="游ゴシック"/>
      <family val="2"/>
      <charset val="128"/>
      <scheme val="minor"/>
    </font>
    <font>
      <b/>
      <sz val="11"/>
      <color theme="1"/>
      <name val="HGPｺﾞｼｯｸE"/>
      <family val="3"/>
      <charset val="128"/>
    </font>
    <font>
      <sz val="11"/>
      <color theme="1"/>
      <name val="HGPｺﾞｼｯｸE"/>
      <family val="3"/>
      <charset val="128"/>
    </font>
    <font>
      <sz val="13"/>
      <color theme="1"/>
      <name val="HGPｺﾞｼｯｸM"/>
      <family val="3"/>
      <charset val="128"/>
    </font>
    <font>
      <b/>
      <sz val="13"/>
      <color theme="1"/>
      <name val="HGPｺﾞｼｯｸM"/>
      <family val="3"/>
      <charset val="128"/>
    </font>
    <font>
      <sz val="9"/>
      <color theme="9" tint="-0.249977111117893"/>
      <name val="游ゴシック"/>
      <family val="3"/>
      <charset val="128"/>
      <scheme val="minor"/>
    </font>
    <font>
      <sz val="9"/>
      <color theme="9" tint="-0.249977111117893"/>
      <name val="游ゴシック"/>
      <family val="2"/>
      <charset val="128"/>
      <scheme val="minor"/>
    </font>
    <font>
      <b/>
      <sz val="11"/>
      <color theme="9" tint="-0.499984740745262"/>
      <name val="HGPｺﾞｼｯｸE"/>
      <family val="3"/>
      <charset val="128"/>
    </font>
    <font>
      <b/>
      <sz val="17"/>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7.5"/>
      <color theme="9" tint="-0.249977111117893"/>
      <name val="游ゴシック"/>
      <family val="2"/>
      <charset val="128"/>
      <scheme val="minor"/>
    </font>
    <font>
      <sz val="7.5"/>
      <color theme="9" tint="-0.249977111117893"/>
      <name val="游ゴシック"/>
      <family val="3"/>
      <charset val="128"/>
      <scheme val="minor"/>
    </font>
    <font>
      <sz val="11"/>
      <color theme="9" tint="-0.499984740745262"/>
      <name val="游ゴシック"/>
      <family val="2"/>
      <charset val="128"/>
      <scheme val="minor"/>
    </font>
    <font>
      <b/>
      <sz val="10"/>
      <color theme="0"/>
      <name val="游ゴシック"/>
      <family val="3"/>
      <charset val="128"/>
      <scheme val="minor"/>
    </font>
    <font>
      <b/>
      <sz val="10"/>
      <color theme="9" tint="-0.249977111117893"/>
      <name val="游ゴシック"/>
      <family val="3"/>
      <charset val="128"/>
      <scheme val="minor"/>
    </font>
    <font>
      <sz val="11"/>
      <color theme="1"/>
      <name val="游ゴシック"/>
      <family val="3"/>
      <charset val="128"/>
      <scheme val="minor"/>
    </font>
    <font>
      <sz val="8"/>
      <color theme="2" tint="-0.499984740745262"/>
      <name val="游ゴシック"/>
      <family val="3"/>
      <charset val="128"/>
      <scheme val="minor"/>
    </font>
    <font>
      <sz val="8"/>
      <color theme="0" tint="-0.499984740745262"/>
      <name val="游ゴシック"/>
      <family val="3"/>
      <charset val="128"/>
      <scheme val="minor"/>
    </font>
    <font>
      <sz val="11"/>
      <color rgb="FFFF0000"/>
      <name val="游ゴシック"/>
      <family val="2"/>
      <charset val="128"/>
      <scheme val="minor"/>
    </font>
    <font>
      <b/>
      <sz val="17.5"/>
      <color theme="1"/>
      <name val="游ゴシック"/>
      <family val="3"/>
      <charset val="128"/>
      <scheme val="minor"/>
    </font>
    <font>
      <b/>
      <sz val="13"/>
      <color theme="1"/>
      <name val="游ゴシック"/>
      <family val="3"/>
      <charset val="128"/>
      <scheme val="minor"/>
    </font>
    <font>
      <sz val="10"/>
      <color theme="0" tint="-0.499984740745262"/>
      <name val="游ゴシック"/>
      <family val="2"/>
      <charset val="128"/>
      <scheme val="minor"/>
    </font>
    <font>
      <sz val="10"/>
      <color theme="0" tint="-0.499984740745262"/>
      <name val="游ゴシック"/>
      <family val="3"/>
      <charset val="128"/>
      <scheme val="minor"/>
    </font>
    <font>
      <sz val="14"/>
      <color theme="1"/>
      <name val="HGPｺﾞｼｯｸM"/>
      <family val="3"/>
      <charset val="128"/>
    </font>
    <font>
      <b/>
      <sz val="26"/>
      <color theme="9" tint="-0.499984740745262"/>
      <name val="游ゴシック"/>
      <family val="3"/>
      <charset val="128"/>
      <scheme val="minor"/>
    </font>
    <font>
      <b/>
      <sz val="18"/>
      <color theme="1"/>
      <name val="游ゴシック"/>
      <family val="3"/>
      <charset val="128"/>
      <scheme val="minor"/>
    </font>
    <font>
      <b/>
      <u/>
      <sz val="12"/>
      <color rgb="FFFF0000"/>
      <name val="游ゴシック"/>
      <family val="3"/>
      <charset val="128"/>
      <scheme val="minor"/>
    </font>
    <font>
      <b/>
      <sz val="10"/>
      <color theme="1"/>
      <name val="游ゴシック"/>
      <family val="3"/>
      <charset val="128"/>
      <scheme val="minor"/>
    </font>
    <font>
      <sz val="11"/>
      <color theme="0" tint="-4.9989318521683403E-2"/>
      <name val="游ゴシック"/>
      <family val="2"/>
      <charset val="128"/>
      <scheme val="minor"/>
    </font>
    <font>
      <b/>
      <sz val="10.5"/>
      <color rgb="FFFF0000"/>
      <name val="游ゴシック"/>
      <family val="3"/>
      <charset val="128"/>
      <scheme val="minor"/>
    </font>
    <font>
      <sz val="18"/>
      <color theme="1"/>
      <name val="游ゴシック"/>
      <family val="2"/>
      <charset val="128"/>
      <scheme val="minor"/>
    </font>
    <font>
      <b/>
      <sz val="13"/>
      <color rgb="FFFF0000"/>
      <name val="HGPｺﾞｼｯｸM"/>
      <family val="3"/>
      <charset val="128"/>
    </font>
    <font>
      <b/>
      <sz val="13.5"/>
      <color rgb="FFFF0000"/>
      <name val="HGPｺﾞｼｯｸM"/>
      <family val="3"/>
      <charset val="128"/>
    </font>
    <font>
      <b/>
      <sz val="12.5"/>
      <color rgb="FFFF0000"/>
      <name val="HGPｺﾞｼｯｸM"/>
      <family val="3"/>
      <charset val="128"/>
    </font>
    <font>
      <b/>
      <sz val="10"/>
      <color theme="0" tint="-4.9989318521683403E-2"/>
      <name val="游ゴシック"/>
      <family val="3"/>
      <charset val="128"/>
      <scheme val="minor"/>
    </font>
    <font>
      <sz val="11"/>
      <name val="游ゴシック"/>
      <family val="3"/>
      <charset val="128"/>
      <scheme val="minor"/>
    </font>
    <font>
      <sz val="11"/>
      <color rgb="FFDA0000"/>
      <name val="游ゴシック"/>
      <family val="2"/>
      <charset val="128"/>
      <scheme val="minor"/>
    </font>
    <font>
      <b/>
      <u/>
      <sz val="9"/>
      <color rgb="FFFF0000"/>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EC99"/>
        <bgColor indexed="64"/>
      </patternFill>
    </fill>
    <fill>
      <patternFill patternType="solid">
        <fgColor theme="7" tint="0.59999389629810485"/>
        <bgColor indexed="64"/>
      </patternFill>
    </fill>
    <fill>
      <patternFill patternType="solid">
        <fgColor theme="9" tint="-0.499984740745262"/>
        <bgColor indexed="64"/>
      </patternFill>
    </fill>
    <fill>
      <patternFill patternType="solid">
        <fgColor rgb="FFE6EAAE"/>
        <bgColor indexed="64"/>
      </patternFill>
    </fill>
    <fill>
      <patternFill patternType="solid">
        <fgColor rgb="FFABD387"/>
        <bgColor indexed="64"/>
      </patternFill>
    </fill>
    <fill>
      <patternFill patternType="solid">
        <fgColor rgb="FFB5D383"/>
        <bgColor indexed="64"/>
      </patternFill>
    </fill>
    <fill>
      <patternFill patternType="solid">
        <fgColor rgb="FFC9E9AB"/>
        <bgColor indexed="64"/>
      </patternFill>
    </fill>
  </fills>
  <borders count="63">
    <border>
      <left/>
      <right/>
      <top/>
      <bottom/>
      <diagonal/>
    </border>
    <border>
      <left/>
      <right style="thick">
        <color rgb="FFFF3300"/>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style="thin">
        <color theme="9" tint="-0.499984740745262"/>
      </left>
      <right/>
      <top/>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top style="thin">
        <color theme="9" tint="-0.499984740745262"/>
      </top>
      <bottom style="medium">
        <color theme="9" tint="-0.499984740745262"/>
      </bottom>
      <diagonal/>
    </border>
    <border>
      <left style="medium">
        <color theme="9" tint="-0.499984740745262"/>
      </left>
      <right/>
      <top style="medium">
        <color theme="9" tint="-0.499984740745262"/>
      </top>
      <bottom style="thin">
        <color theme="9" tint="-0.499984740745262"/>
      </bottom>
      <diagonal/>
    </border>
    <border>
      <left/>
      <right style="medium">
        <color theme="9" tint="-0.499984740745262"/>
      </right>
      <top style="medium">
        <color theme="9" tint="-0.499984740745262"/>
      </top>
      <bottom style="thin">
        <color theme="9" tint="-0.499984740745262"/>
      </bottom>
      <diagonal/>
    </border>
    <border>
      <left/>
      <right style="medium">
        <color theme="9" tint="-0.499984740745262"/>
      </right>
      <top style="thin">
        <color theme="9" tint="-0.499984740745262"/>
      </top>
      <bottom style="medium">
        <color theme="9" tint="-0.499984740745262"/>
      </bottom>
      <diagonal/>
    </border>
    <border>
      <left/>
      <right style="thin">
        <color theme="9" tint="-0.249977111117893"/>
      </right>
      <top/>
      <bottom/>
      <diagonal/>
    </border>
    <border>
      <left style="thin">
        <color theme="9" tint="-0.249977111117893"/>
      </left>
      <right/>
      <top/>
      <bottom/>
      <diagonal/>
    </border>
    <border>
      <left/>
      <right style="thin">
        <color theme="9"/>
      </right>
      <top/>
      <bottom/>
      <diagonal/>
    </border>
    <border>
      <left style="thin">
        <color theme="9"/>
      </left>
      <right/>
      <top/>
      <bottom/>
      <diagonal/>
    </border>
    <border>
      <left style="thick">
        <color rgb="FF333300"/>
      </left>
      <right/>
      <top style="thick">
        <color rgb="FF333300"/>
      </top>
      <bottom/>
      <diagonal/>
    </border>
    <border>
      <left/>
      <right style="thin">
        <color theme="9"/>
      </right>
      <top style="thick">
        <color rgb="FF333300"/>
      </top>
      <bottom/>
      <diagonal/>
    </border>
    <border>
      <left style="thin">
        <color theme="9"/>
      </left>
      <right/>
      <top style="thick">
        <color rgb="FF333300"/>
      </top>
      <bottom/>
      <diagonal/>
    </border>
    <border>
      <left/>
      <right/>
      <top style="thick">
        <color rgb="FF333300"/>
      </top>
      <bottom/>
      <diagonal/>
    </border>
    <border>
      <left style="thick">
        <color rgb="FF333300"/>
      </left>
      <right/>
      <top/>
      <bottom/>
      <diagonal/>
    </border>
    <border>
      <left/>
      <right style="thick">
        <color rgb="FF333300"/>
      </right>
      <top/>
      <bottom/>
      <diagonal/>
    </border>
    <border>
      <left style="thick">
        <color rgb="FF333300"/>
      </left>
      <right/>
      <top/>
      <bottom style="thick">
        <color rgb="FF333300"/>
      </bottom>
      <diagonal/>
    </border>
    <border>
      <left/>
      <right style="thin">
        <color theme="9"/>
      </right>
      <top/>
      <bottom style="thick">
        <color rgb="FF333300"/>
      </bottom>
      <diagonal/>
    </border>
    <border>
      <left style="thin">
        <color theme="9"/>
      </left>
      <right/>
      <top/>
      <bottom style="thick">
        <color rgb="FF333300"/>
      </bottom>
      <diagonal/>
    </border>
    <border>
      <left/>
      <right/>
      <top/>
      <bottom style="thick">
        <color rgb="FF333300"/>
      </bottom>
      <diagonal/>
    </border>
    <border>
      <left/>
      <right style="thick">
        <color rgb="FF333300"/>
      </right>
      <top/>
      <bottom style="thick">
        <color rgb="FF333300"/>
      </bottom>
      <diagonal/>
    </border>
    <border>
      <left/>
      <right/>
      <top style="thick">
        <color rgb="FF333300"/>
      </top>
      <bottom style="thick">
        <color rgb="FF333300"/>
      </bottom>
      <diagonal/>
    </border>
    <border>
      <left/>
      <right style="thick">
        <color rgb="FF333300"/>
      </right>
      <top style="thick">
        <color rgb="FF333300"/>
      </top>
      <bottom style="thick">
        <color rgb="FF333300"/>
      </bottom>
      <diagonal/>
    </border>
    <border>
      <left style="thin">
        <color theme="9"/>
      </left>
      <right/>
      <top style="thick">
        <color rgb="FF333300"/>
      </top>
      <bottom style="thick">
        <color rgb="FF333300"/>
      </bottom>
      <diagonal/>
    </border>
    <border>
      <left/>
      <right style="thin">
        <color theme="9" tint="-0.249977111117893"/>
      </right>
      <top/>
      <bottom style="thick">
        <color rgb="FF333300"/>
      </bottom>
      <diagonal/>
    </border>
    <border>
      <left style="thick">
        <color rgb="FF333300"/>
      </left>
      <right/>
      <top style="thick">
        <color rgb="FF333300"/>
      </top>
      <bottom style="thick">
        <color rgb="FF2C451B"/>
      </bottom>
      <diagonal/>
    </border>
    <border>
      <left/>
      <right style="thick">
        <color rgb="FF2C451B"/>
      </right>
      <top style="thick">
        <color rgb="FF333300"/>
      </top>
      <bottom style="thick">
        <color rgb="FF2C451B"/>
      </bottom>
      <diagonal/>
    </border>
    <border>
      <left style="thick">
        <color theme="9" tint="-0.499984740745262"/>
      </left>
      <right/>
      <top/>
      <bottom/>
      <diagonal/>
    </border>
    <border>
      <left style="thick">
        <color rgb="FF2C451B"/>
      </left>
      <right/>
      <top style="medium">
        <color theme="9" tint="-0.499984740745262"/>
      </top>
      <bottom style="thick">
        <color theme="9" tint="-0.499984740745262"/>
      </bottom>
      <diagonal/>
    </border>
    <border>
      <left style="thin">
        <color rgb="FF88B4DC"/>
      </left>
      <right style="thin">
        <color rgb="FF88B4DC"/>
      </right>
      <top style="thin">
        <color rgb="FF88B4DC"/>
      </top>
      <bottom style="thin">
        <color rgb="FF88B4DC"/>
      </bottom>
      <diagonal/>
    </border>
    <border>
      <left/>
      <right/>
      <top style="thin">
        <color theme="9" tint="-0.499984740745262"/>
      </top>
      <bottom/>
      <diagonal/>
    </border>
    <border>
      <left/>
      <right/>
      <top/>
      <bottom style="thin">
        <color rgb="FF88B4DC"/>
      </bottom>
      <diagonal/>
    </border>
    <border>
      <left/>
      <right/>
      <top style="thin">
        <color rgb="FF88B4DC"/>
      </top>
      <bottom style="thin">
        <color rgb="FF88B4DC"/>
      </bottom>
      <diagonal/>
    </border>
    <border>
      <left/>
      <right style="thin">
        <color rgb="FF88B4DC"/>
      </right>
      <top style="thin">
        <color rgb="FF88B4DC"/>
      </top>
      <bottom style="thin">
        <color rgb="FF88B4DC"/>
      </bottom>
      <diagonal/>
    </border>
    <border>
      <left/>
      <right style="thin">
        <color rgb="FF88B4DC"/>
      </right>
      <top/>
      <bottom style="thin">
        <color rgb="FF88B4DC"/>
      </bottom>
      <diagonal/>
    </border>
    <border>
      <left style="thin">
        <color rgb="FF88B4DC"/>
      </left>
      <right/>
      <top style="thin">
        <color rgb="FF88B4DC"/>
      </top>
      <bottom/>
      <diagonal/>
    </border>
    <border>
      <left style="thin">
        <color rgb="FF88B4DC"/>
      </left>
      <right/>
      <top/>
      <bottom/>
      <diagonal/>
    </border>
    <border>
      <left style="thin">
        <color rgb="FF88B4DC"/>
      </left>
      <right/>
      <top/>
      <bottom style="thin">
        <color rgb="FF88B4DC"/>
      </bottom>
      <diagonal/>
    </border>
    <border>
      <left style="thin">
        <color rgb="FF88B4DC"/>
      </left>
      <right/>
      <top style="thin">
        <color rgb="FF88B4DC"/>
      </top>
      <bottom style="thin">
        <color rgb="FF88B4DC"/>
      </bottom>
      <diagonal/>
    </border>
    <border>
      <left/>
      <right style="thin">
        <color rgb="FF88B4DC"/>
      </right>
      <top style="thin">
        <color rgb="FF88B4DC"/>
      </top>
      <bottom/>
      <diagonal/>
    </border>
    <border>
      <left/>
      <right style="thin">
        <color rgb="FF88B4DC"/>
      </right>
      <top/>
      <bottom/>
      <diagonal/>
    </border>
    <border>
      <left/>
      <right style="double">
        <color theme="9" tint="-0.249977111117893"/>
      </right>
      <top/>
      <bottom style="thin">
        <color rgb="FF88B4DC"/>
      </bottom>
      <diagonal/>
    </border>
    <border>
      <left/>
      <right style="double">
        <color theme="9" tint="-0.249977111117893"/>
      </right>
      <top style="thin">
        <color rgb="FF88B4DC"/>
      </top>
      <bottom style="thin">
        <color rgb="FF88B4DC"/>
      </bottom>
      <diagonal/>
    </border>
    <border>
      <left style="thin">
        <color rgb="FF88B4DC"/>
      </left>
      <right style="double">
        <color theme="9" tint="-0.249977111117893"/>
      </right>
      <top style="thin">
        <color rgb="FF88B4DC"/>
      </top>
      <bottom style="thin">
        <color rgb="FF88B4DC"/>
      </bottom>
      <diagonal/>
    </border>
    <border>
      <left/>
      <right style="double">
        <color theme="9" tint="-0.249977111117893"/>
      </right>
      <top style="thin">
        <color rgb="FF88B4DC"/>
      </top>
      <bottom/>
      <diagonal/>
    </border>
    <border>
      <left/>
      <right style="double">
        <color theme="9" tint="-0.249977111117893"/>
      </right>
      <top/>
      <bottom/>
      <diagonal/>
    </border>
    <border>
      <left style="thin">
        <color theme="9" tint="-0.499984740745262"/>
      </left>
      <right style="thin">
        <color theme="9" tint="-0.499984740745262"/>
      </right>
      <top/>
      <bottom style="thin">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33">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5" fillId="3" borderId="0" xfId="0" applyFont="1" applyFill="1" applyBorder="1">
      <alignmen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0" fillId="0" borderId="0" xfId="0" applyBorder="1">
      <alignment vertical="center"/>
    </xf>
    <xf numFmtId="0" fontId="0" fillId="0" borderId="2" xfId="0"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0" xfId="0" applyFill="1">
      <alignment vertical="center"/>
    </xf>
    <xf numFmtId="0" fontId="0" fillId="0" borderId="5" xfId="0" applyBorder="1" applyAlignment="1">
      <alignment horizontal="center" vertical="center"/>
    </xf>
    <xf numFmtId="0" fontId="0" fillId="0" borderId="0" xfId="0" applyFont="1" applyBorder="1">
      <alignment vertical="center"/>
    </xf>
    <xf numFmtId="0" fontId="0" fillId="0" borderId="0" xfId="0" applyBorder="1" applyAlignment="1">
      <alignment horizontal="left" vertical="center"/>
    </xf>
    <xf numFmtId="0" fontId="3" fillId="0" borderId="0" xfId="0" applyFont="1" applyFill="1" applyBorder="1">
      <alignment vertical="center"/>
    </xf>
    <xf numFmtId="0" fontId="9" fillId="0" borderId="0" xfId="0" applyFont="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7" fillId="0" borderId="2" xfId="0" applyFont="1" applyBorder="1" applyAlignment="1">
      <alignment horizontal="center" vertical="center"/>
    </xf>
    <xf numFmtId="0" fontId="6" fillId="0" borderId="0" xfId="0" applyFont="1">
      <alignment vertical="center"/>
    </xf>
    <xf numFmtId="0" fontId="10" fillId="0" borderId="16" xfId="0" applyFon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7"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Fill="1" applyBorder="1" applyAlignment="1">
      <alignment vertical="center"/>
    </xf>
    <xf numFmtId="0" fontId="19" fillId="0" borderId="0" xfId="0" applyFont="1">
      <alignment vertical="center"/>
    </xf>
    <xf numFmtId="0" fontId="0" fillId="0" borderId="0" xfId="0" applyFill="1" applyAlignment="1">
      <alignment horizontal="left" vertical="center"/>
    </xf>
    <xf numFmtId="0" fontId="0" fillId="0" borderId="2" xfId="0" applyFill="1" applyBorder="1" applyAlignment="1">
      <alignment horizontal="center" vertical="center"/>
    </xf>
    <xf numFmtId="0" fontId="23" fillId="0" borderId="0" xfId="0" applyFont="1" applyBorder="1">
      <alignment vertical="center"/>
    </xf>
    <xf numFmtId="0" fontId="27" fillId="0" borderId="0" xfId="0" applyFont="1" applyFill="1" applyBorder="1" applyAlignment="1">
      <alignment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0" xfId="0" applyFill="1">
      <alignment vertical="center"/>
    </xf>
    <xf numFmtId="0" fontId="19" fillId="0" borderId="0" xfId="0" applyFont="1" applyAlignment="1">
      <alignment vertical="center" wrapText="1"/>
    </xf>
    <xf numFmtId="0" fontId="17" fillId="0" borderId="0" xfId="0" applyFont="1" applyAlignment="1" applyProtection="1">
      <alignment vertical="center"/>
      <protection hidden="1"/>
    </xf>
    <xf numFmtId="0" fontId="1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4" fillId="0" borderId="0" xfId="0" applyFont="1" applyProtection="1">
      <alignment vertical="center"/>
      <protection hidden="1"/>
    </xf>
    <xf numFmtId="38" fontId="18" fillId="0" borderId="0" xfId="1" applyFont="1" applyAlignment="1" applyProtection="1">
      <alignment horizontal="center" vertical="center"/>
      <protection hidden="1"/>
    </xf>
    <xf numFmtId="0" fontId="17" fillId="0" borderId="0" xfId="0" applyFont="1" applyAlignment="1" applyProtection="1">
      <alignment horizontal="right" vertical="center"/>
      <protection hidden="1"/>
    </xf>
    <xf numFmtId="0" fontId="17" fillId="0" borderId="0" xfId="0" applyFont="1" applyAlignment="1" applyProtection="1">
      <alignment horizontal="left" vertical="center"/>
      <protection hidden="1"/>
    </xf>
    <xf numFmtId="0" fontId="2"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28" fillId="0" borderId="13"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3" fillId="0" borderId="11" xfId="0" applyFont="1" applyBorder="1" applyAlignment="1">
      <alignment horizontal="center" vertical="center" wrapText="1"/>
    </xf>
    <xf numFmtId="0" fontId="34"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3" fillId="0" borderId="0" xfId="0" applyNumberFormat="1" applyFont="1" applyAlignment="1">
      <alignment horizontal="right" vertical="center"/>
    </xf>
    <xf numFmtId="0" fontId="36" fillId="7" borderId="40" xfId="0" applyFont="1" applyFill="1" applyBorder="1" applyAlignment="1">
      <alignment horizontal="center" vertical="center"/>
    </xf>
    <xf numFmtId="0" fontId="36" fillId="7" borderId="22" xfId="0" applyFont="1" applyFill="1" applyBorder="1" applyAlignment="1">
      <alignment vertical="center"/>
    </xf>
    <xf numFmtId="0" fontId="24" fillId="5" borderId="0" xfId="0" applyFont="1" applyFill="1">
      <alignment vertical="center"/>
    </xf>
    <xf numFmtId="0" fontId="0" fillId="5" borderId="0" xfId="0" applyFill="1">
      <alignment vertical="center"/>
    </xf>
    <xf numFmtId="0" fontId="4" fillId="5" borderId="0" xfId="0" applyFont="1" applyFill="1">
      <alignment vertical="center"/>
    </xf>
    <xf numFmtId="1" fontId="0" fillId="0" borderId="2" xfId="0" applyNumberFormat="1" applyBorder="1" applyAlignment="1">
      <alignment horizontal="center" vertical="center"/>
    </xf>
    <xf numFmtId="1" fontId="0" fillId="0" borderId="0" xfId="0" applyNumberFormat="1" applyBorder="1" applyAlignment="1">
      <alignment horizontal="center" vertical="center"/>
    </xf>
    <xf numFmtId="1" fontId="0" fillId="0" borderId="5" xfId="0" applyNumberFormat="1" applyBorder="1" applyAlignment="1">
      <alignment horizontal="center" vertical="center"/>
    </xf>
    <xf numFmtId="1" fontId="0" fillId="0" borderId="15" xfId="0" applyNumberFormat="1" applyBorder="1" applyAlignment="1">
      <alignment horizontal="center" vertical="center"/>
    </xf>
    <xf numFmtId="1" fontId="0" fillId="0" borderId="8" xfId="0" applyNumberFormat="1" applyBorder="1" applyAlignment="1">
      <alignment horizontal="center" vertical="center"/>
    </xf>
    <xf numFmtId="0" fontId="28" fillId="0" borderId="0" xfId="0" applyFont="1" applyAlignment="1"/>
    <xf numFmtId="0" fontId="27" fillId="0" borderId="0" xfId="0" applyFont="1">
      <alignment vertical="center"/>
    </xf>
    <xf numFmtId="0" fontId="27" fillId="0" borderId="0" xfId="0" applyFont="1" applyFill="1" applyBorder="1" applyAlignment="1">
      <alignment horizontal="left" vertical="center"/>
    </xf>
    <xf numFmtId="0" fontId="39" fillId="0" borderId="0" xfId="0" applyFont="1">
      <alignment vertical="center"/>
    </xf>
    <xf numFmtId="0" fontId="39" fillId="0" borderId="0" xfId="0" applyFont="1" applyAlignment="1">
      <alignment horizontal="left" vertical="center"/>
    </xf>
    <xf numFmtId="0" fontId="40" fillId="0" borderId="0" xfId="0" applyFont="1" applyBorder="1">
      <alignment vertical="center"/>
    </xf>
    <xf numFmtId="0" fontId="40" fillId="0" borderId="0" xfId="0" applyFont="1" applyBorder="1" applyAlignment="1">
      <alignment horizontal="left" vertical="center"/>
    </xf>
    <xf numFmtId="0" fontId="28" fillId="0" borderId="14" xfId="0" applyFont="1" applyBorder="1" applyAlignment="1">
      <alignment horizontal="left" vertical="center"/>
    </xf>
    <xf numFmtId="0" fontId="27" fillId="0" borderId="0" xfId="0" applyFont="1" applyAlignment="1">
      <alignment horizontal="left" vertical="center"/>
    </xf>
    <xf numFmtId="0" fontId="0" fillId="10" borderId="0" xfId="0" applyFill="1">
      <alignment vertical="center"/>
    </xf>
    <xf numFmtId="0" fontId="41" fillId="3" borderId="0" xfId="0" applyFont="1" applyFill="1">
      <alignment vertical="center"/>
    </xf>
    <xf numFmtId="0" fontId="43" fillId="9" borderId="34" xfId="0" applyFont="1" applyFill="1" applyBorder="1" applyAlignment="1">
      <alignment horizontal="center" vertical="center"/>
    </xf>
    <xf numFmtId="0" fontId="43" fillId="9" borderId="0" xfId="0" applyFont="1" applyFill="1" applyBorder="1" applyAlignment="1">
      <alignment vertical="center"/>
    </xf>
    <xf numFmtId="0" fontId="0" fillId="0" borderId="0" xfId="0" applyAlignment="1">
      <alignment horizontal="right" vertical="center"/>
    </xf>
    <xf numFmtId="0" fontId="26" fillId="5" borderId="0" xfId="0" applyFont="1" applyFill="1" applyBorder="1" applyAlignment="1">
      <alignment horizontal="right"/>
    </xf>
    <xf numFmtId="0" fontId="0" fillId="6" borderId="0" xfId="0" applyFill="1" applyAlignment="1">
      <alignment horizontal="right" vertical="center"/>
    </xf>
    <xf numFmtId="0" fontId="0" fillId="5" borderId="0" xfId="0" applyFill="1" applyAlignment="1">
      <alignment horizontal="right" vertical="center"/>
    </xf>
    <xf numFmtId="0" fontId="43" fillId="9" borderId="23" xfId="0" applyFont="1" applyFill="1" applyBorder="1" applyAlignment="1">
      <alignment horizontal="left" vertical="center"/>
    </xf>
    <xf numFmtId="0" fontId="4" fillId="0" borderId="0" xfId="0" applyFont="1">
      <alignment vertical="center"/>
    </xf>
    <xf numFmtId="0" fontId="15" fillId="10" borderId="0" xfId="0" applyFont="1" applyFill="1">
      <alignment vertical="center"/>
    </xf>
    <xf numFmtId="0" fontId="44" fillId="0" borderId="0" xfId="0" applyFont="1" applyAlignment="1">
      <alignment vertical="center"/>
    </xf>
    <xf numFmtId="0" fontId="45" fillId="0" borderId="0" xfId="0" applyFont="1" applyAlignment="1">
      <alignment vertical="center"/>
    </xf>
    <xf numFmtId="0" fontId="12" fillId="0" borderId="2" xfId="0" applyFont="1" applyBorder="1" applyAlignment="1">
      <alignment horizontal="center" vertical="center"/>
    </xf>
    <xf numFmtId="0" fontId="38" fillId="0" borderId="11" xfId="0" applyFont="1" applyBorder="1" applyAlignment="1">
      <alignment horizontal="center" vertical="center"/>
    </xf>
    <xf numFmtId="0" fontId="36" fillId="7" borderId="44" xfId="0" applyFont="1" applyFill="1" applyBorder="1" applyAlignment="1">
      <alignment horizontal="center" vertical="center"/>
    </xf>
    <xf numFmtId="0" fontId="0" fillId="0" borderId="43" xfId="0" applyBorder="1" applyAlignment="1">
      <alignment horizontal="right" vertical="center"/>
    </xf>
    <xf numFmtId="0" fontId="47" fillId="0" borderId="0" xfId="0" applyFont="1" applyAlignment="1">
      <alignment horizontal="left" vertical="top"/>
    </xf>
    <xf numFmtId="0" fontId="31" fillId="0" borderId="0" xfId="0" applyFont="1" applyAlignment="1">
      <alignment vertical="center"/>
    </xf>
    <xf numFmtId="38" fontId="5" fillId="0" borderId="0" xfId="1" applyFont="1" applyAlignment="1">
      <alignment horizontal="left" vertical="center"/>
    </xf>
    <xf numFmtId="0" fontId="49" fillId="6" borderId="0" xfId="0" applyFont="1" applyFill="1">
      <alignment vertical="center"/>
    </xf>
    <xf numFmtId="38" fontId="31" fillId="0" borderId="0" xfId="1" applyFont="1" applyAlignment="1">
      <alignment horizontal="left" vertical="center"/>
    </xf>
    <xf numFmtId="0" fontId="39" fillId="0" borderId="0" xfId="0" applyFont="1" applyAlignment="1">
      <alignment vertical="center"/>
    </xf>
    <xf numFmtId="0" fontId="9" fillId="0" borderId="12" xfId="0" applyFont="1" applyBorder="1" applyAlignment="1">
      <alignment horizontal="center" vertical="center"/>
    </xf>
    <xf numFmtId="0" fontId="0" fillId="2" borderId="45" xfId="0" applyFill="1" applyBorder="1" applyAlignment="1">
      <alignment horizontal="center" vertical="center"/>
    </xf>
    <xf numFmtId="0" fontId="51" fillId="0" borderId="0" xfId="0" applyFont="1" applyAlignment="1">
      <alignment horizontal="right" vertical="center"/>
    </xf>
    <xf numFmtId="0" fontId="53" fillId="0" borderId="0" xfId="0" applyFont="1" applyAlignment="1">
      <alignment vertical="top"/>
    </xf>
    <xf numFmtId="0" fontId="0" fillId="0" borderId="46" xfId="0" applyBorder="1">
      <alignment vertical="center"/>
    </xf>
    <xf numFmtId="0" fontId="53" fillId="0" borderId="0" xfId="0" applyFont="1" applyAlignment="1">
      <alignment horizontal="left" vertical="top"/>
    </xf>
    <xf numFmtId="0" fontId="6" fillId="0" borderId="2" xfId="0" applyFont="1" applyBorder="1" applyAlignment="1">
      <alignment horizontal="center" vertical="center"/>
    </xf>
    <xf numFmtId="0" fontId="0" fillId="2" borderId="49" xfId="0" applyFill="1" applyBorder="1" applyAlignment="1">
      <alignment horizontal="center" vertical="center"/>
    </xf>
    <xf numFmtId="0" fontId="7" fillId="0" borderId="0" xfId="0" applyFont="1" applyAlignment="1">
      <alignment horizontal="left" vertical="center"/>
    </xf>
    <xf numFmtId="0" fontId="0" fillId="2" borderId="49" xfId="0" applyFill="1" applyBorder="1" applyAlignment="1">
      <alignment horizontal="center" vertical="center"/>
    </xf>
    <xf numFmtId="0" fontId="0" fillId="0" borderId="56" xfId="0" applyBorder="1">
      <alignment vertical="center"/>
    </xf>
    <xf numFmtId="0" fontId="0" fillId="2" borderId="59" xfId="0" applyFill="1" applyBorder="1" applyAlignment="1">
      <alignment horizontal="center" vertical="center"/>
    </xf>
    <xf numFmtId="0" fontId="7" fillId="0" borderId="0" xfId="0" applyFont="1" applyAlignment="1">
      <alignment horizontal="right" vertical="center"/>
    </xf>
    <xf numFmtId="0" fontId="0" fillId="0" borderId="11" xfId="0" applyBorder="1" applyAlignment="1">
      <alignment horizontal="center" vertical="center"/>
    </xf>
    <xf numFmtId="0" fontId="10" fillId="0" borderId="15"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10" fillId="0" borderId="5" xfId="0" applyFont="1" applyBorder="1" applyAlignment="1">
      <alignment horizontal="center" vertical="center"/>
    </xf>
    <xf numFmtId="0" fontId="53" fillId="0" borderId="0" xfId="0" applyFont="1" applyAlignment="1">
      <alignment horizontal="center" vertical="top"/>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5" fillId="0" borderId="62" xfId="0" applyFont="1" applyBorder="1" applyAlignment="1">
      <alignment horizontal="center" vertical="center"/>
    </xf>
    <xf numFmtId="0" fontId="0" fillId="3" borderId="0" xfId="0" applyFill="1">
      <alignment vertical="center"/>
    </xf>
    <xf numFmtId="0" fontId="52" fillId="0" borderId="0" xfId="0" applyFont="1" applyBorder="1">
      <alignment vertical="center"/>
    </xf>
    <xf numFmtId="0" fontId="54" fillId="0" borderId="0" xfId="0" applyFont="1" applyAlignment="1" applyProtection="1">
      <alignment horizontal="center" vertical="center"/>
      <protection hidden="1"/>
    </xf>
    <xf numFmtId="0" fontId="17" fillId="0" borderId="0" xfId="0" applyFont="1">
      <alignment vertical="center"/>
    </xf>
    <xf numFmtId="38" fontId="56" fillId="0" borderId="0" xfId="1" applyFont="1" applyAlignment="1" applyProtection="1">
      <alignment horizontal="center" vertical="center"/>
      <protection hidden="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52" fillId="0" borderId="30" xfId="0" applyFont="1" applyBorder="1" applyAlignment="1">
      <alignment vertical="top" wrapText="1"/>
    </xf>
    <xf numFmtId="0" fontId="52" fillId="0" borderId="0" xfId="0" applyFont="1" applyBorder="1" applyAlignment="1">
      <alignment vertical="top" wrapText="1"/>
    </xf>
    <xf numFmtId="0" fontId="32" fillId="0" borderId="0" xfId="0" applyFont="1" applyAlignment="1">
      <alignment horizontal="center" vertical="center"/>
    </xf>
    <xf numFmtId="0" fontId="0" fillId="2" borderId="0" xfId="0" applyFill="1">
      <alignment vertical="center"/>
    </xf>
    <xf numFmtId="0" fontId="37" fillId="0" borderId="0" xfId="0" applyFont="1" applyFill="1" applyAlignment="1">
      <alignment vertical="center"/>
    </xf>
    <xf numFmtId="0" fontId="12" fillId="0" borderId="0" xfId="0" applyFont="1" applyBorder="1">
      <alignment vertical="center"/>
    </xf>
    <xf numFmtId="0" fontId="10" fillId="0" borderId="2" xfId="0" applyFont="1" applyFill="1" applyBorder="1" applyAlignment="1">
      <alignment horizontal="center" vertical="center"/>
    </xf>
    <xf numFmtId="0" fontId="57" fillId="0" borderId="8" xfId="0" applyFont="1" applyFill="1" applyBorder="1" applyAlignment="1">
      <alignment horizontal="center" vertical="center"/>
    </xf>
    <xf numFmtId="0" fontId="58" fillId="0" borderId="17" xfId="0" applyFont="1" applyBorder="1" applyAlignment="1">
      <alignment horizontal="center" vertical="center"/>
    </xf>
    <xf numFmtId="0" fontId="59" fillId="0" borderId="0" xfId="0" applyFont="1">
      <alignment vertical="center"/>
    </xf>
    <xf numFmtId="0" fontId="28" fillId="0" borderId="0" xfId="0" applyFont="1">
      <alignment vertical="center"/>
    </xf>
    <xf numFmtId="0" fontId="12" fillId="0" borderId="0" xfId="0" applyFont="1" applyAlignment="1">
      <alignment horizontal="right" vertical="center"/>
    </xf>
    <xf numFmtId="0" fontId="61" fillId="0" borderId="0" xfId="0" applyFont="1" applyBorder="1">
      <alignment vertical="center"/>
    </xf>
    <xf numFmtId="0" fontId="24" fillId="0" borderId="0" xfId="0" applyFont="1" applyFill="1">
      <alignment vertical="center"/>
    </xf>
    <xf numFmtId="0" fontId="0" fillId="0" borderId="0" xfId="0" applyFill="1" applyAlignment="1">
      <alignment horizontal="right" vertical="center"/>
    </xf>
    <xf numFmtId="0" fontId="0" fillId="11" borderId="47" xfId="0" applyFill="1" applyBorder="1" applyAlignment="1">
      <alignment horizontal="center" vertical="center"/>
    </xf>
    <xf numFmtId="0" fontId="0" fillId="11" borderId="57" xfId="0" applyFill="1" applyBorder="1" applyAlignment="1">
      <alignment horizontal="center" vertical="center"/>
    </xf>
    <xf numFmtId="0" fontId="0" fillId="2" borderId="54" xfId="0" applyFill="1" applyBorder="1" applyAlignment="1">
      <alignment horizontal="center" vertical="center"/>
    </xf>
    <xf numFmtId="0" fontId="0" fillId="2" borderId="58" xfId="0" applyFill="1" applyBorder="1" applyAlignment="1">
      <alignment horizontal="center" vertical="center"/>
    </xf>
    <xf numFmtId="0" fontId="0" fillId="11" borderId="6"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2" borderId="45" xfId="0" applyFill="1" applyBorder="1" applyAlignment="1">
      <alignment horizontal="center" vertical="center"/>
    </xf>
    <xf numFmtId="0" fontId="0" fillId="11" borderId="0" xfId="0" applyFill="1" applyAlignment="1">
      <alignment horizontal="center" vertical="center"/>
    </xf>
    <xf numFmtId="0" fontId="0" fillId="11" borderId="48" xfId="0" applyFill="1" applyBorder="1" applyAlignment="1">
      <alignment horizontal="center" vertical="center"/>
    </xf>
    <xf numFmtId="0" fontId="0" fillId="2" borderId="51" xfId="0" applyFill="1" applyBorder="1" applyAlignment="1">
      <alignment horizontal="center" vertical="center"/>
    </xf>
    <xf numFmtId="0" fontId="0" fillId="2" borderId="60" xfId="0" applyFill="1" applyBorder="1" applyAlignment="1">
      <alignment horizontal="center" vertical="center"/>
    </xf>
    <xf numFmtId="0" fontId="0" fillId="2" borderId="52" xfId="0" applyFill="1" applyBorder="1" applyAlignment="1">
      <alignment horizontal="center" vertical="center"/>
    </xf>
    <xf numFmtId="0" fontId="0" fillId="2" borderId="61" xfId="0" applyFill="1" applyBorder="1" applyAlignment="1">
      <alignment horizontal="center" vertical="center"/>
    </xf>
    <xf numFmtId="0" fontId="0" fillId="2" borderId="53" xfId="0" applyFill="1" applyBorder="1" applyAlignment="1">
      <alignment horizontal="center" vertical="center"/>
    </xf>
    <xf numFmtId="0" fontId="0" fillId="2" borderId="57" xfId="0" applyFill="1" applyBorder="1" applyAlignment="1">
      <alignment horizontal="center" vertical="center"/>
    </xf>
    <xf numFmtId="0" fontId="0" fillId="2" borderId="49"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0" xfId="0" applyFill="1" applyBorder="1" applyAlignment="1">
      <alignment horizontal="center" vertical="center"/>
    </xf>
    <xf numFmtId="0" fontId="20" fillId="8" borderId="0" xfId="0" applyFont="1" applyFill="1" applyBorder="1" applyAlignment="1">
      <alignment horizontal="center" vertical="center"/>
    </xf>
    <xf numFmtId="0" fontId="20" fillId="8" borderId="31"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31" xfId="0" applyFont="1" applyFill="1" applyBorder="1" applyAlignment="1">
      <alignment horizontal="center" vertical="center"/>
    </xf>
    <xf numFmtId="38" fontId="25" fillId="4" borderId="25" xfId="1" applyFont="1" applyFill="1" applyBorder="1" applyAlignment="1" applyProtection="1">
      <alignment horizontal="center" vertical="center"/>
      <protection locked="0"/>
    </xf>
    <xf numFmtId="38" fontId="25" fillId="4" borderId="0" xfId="1" applyFont="1" applyFill="1" applyBorder="1" applyAlignment="1" applyProtection="1">
      <alignment horizontal="center" vertical="center"/>
      <protection locked="0"/>
    </xf>
    <xf numFmtId="38" fontId="25" fillId="4" borderId="24" xfId="1" applyFont="1" applyFill="1" applyBorder="1" applyAlignment="1" applyProtection="1">
      <alignment horizontal="center" vertical="center"/>
      <protection locked="0"/>
    </xf>
    <xf numFmtId="38" fontId="25" fillId="5" borderId="0" xfId="1" applyFont="1" applyFill="1" applyBorder="1" applyAlignment="1" applyProtection="1">
      <alignment horizontal="center" vertical="center"/>
      <protection hidden="1"/>
    </xf>
    <xf numFmtId="0" fontId="20" fillId="4" borderId="30" xfId="0" applyFont="1" applyFill="1" applyBorder="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0" fontId="20" fillId="4" borderId="32"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25" fillId="4" borderId="25"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52" fillId="0" borderId="26" xfId="0" applyFont="1" applyBorder="1" applyAlignment="1">
      <alignment horizontal="left" vertical="top" wrapText="1"/>
    </xf>
    <xf numFmtId="0" fontId="52" fillId="0" borderId="29" xfId="0" applyFont="1" applyBorder="1" applyAlignment="1">
      <alignment horizontal="left" vertical="top" wrapText="1"/>
    </xf>
    <xf numFmtId="0" fontId="52" fillId="0" borderId="30" xfId="0" applyFont="1" applyBorder="1" applyAlignment="1">
      <alignment horizontal="left" vertical="top" wrapText="1"/>
    </xf>
    <xf numFmtId="0" fontId="52" fillId="0" borderId="0" xfId="0" applyFont="1" applyBorder="1" applyAlignment="1">
      <alignment horizontal="left" vertical="top" wrapText="1"/>
    </xf>
    <xf numFmtId="0" fontId="43" fillId="9" borderId="0" xfId="0" applyFont="1" applyFill="1" applyBorder="1" applyAlignment="1">
      <alignment horizontal="center" vertical="center"/>
    </xf>
    <xf numFmtId="0" fontId="21" fillId="8" borderId="1" xfId="0" applyFont="1" applyFill="1" applyBorder="1" applyAlignment="1">
      <alignment horizontal="center" vertical="center"/>
    </xf>
    <xf numFmtId="0" fontId="25" fillId="4" borderId="39" xfId="0" applyFont="1" applyFill="1" applyBorder="1" applyAlignment="1" applyProtection="1">
      <alignment horizontal="center" vertical="center"/>
      <protection locked="0"/>
    </xf>
    <xf numFmtId="0" fontId="25" fillId="4" borderId="37" xfId="0" applyFont="1" applyFill="1" applyBorder="1" applyAlignment="1" applyProtection="1">
      <alignment horizontal="center" vertical="center"/>
      <protection locked="0"/>
    </xf>
    <xf numFmtId="0" fontId="25" fillId="4" borderId="38" xfId="0" applyFont="1" applyFill="1" applyBorder="1" applyAlignment="1" applyProtection="1">
      <alignment horizontal="center" vertical="center"/>
      <protection locked="0"/>
    </xf>
    <xf numFmtId="0" fontId="25" fillId="4" borderId="28" xfId="0" applyFont="1" applyFill="1" applyBorder="1" applyAlignment="1" applyProtection="1">
      <alignment horizontal="center" vertical="center"/>
      <protection locked="0"/>
    </xf>
    <xf numFmtId="0" fontId="25" fillId="4" borderId="29" xfId="0" applyFont="1" applyFill="1" applyBorder="1" applyAlignment="1" applyProtection="1">
      <alignment horizontal="center" vertical="center"/>
      <protection locked="0"/>
    </xf>
    <xf numFmtId="38" fontId="48" fillId="0" borderId="0" xfId="1" applyFont="1" applyAlignment="1" applyProtection="1">
      <alignment horizontal="center" vertical="center"/>
      <protection hidden="1"/>
    </xf>
    <xf numFmtId="0" fontId="20" fillId="4" borderId="26" xfId="0" applyFont="1" applyFill="1" applyBorder="1" applyAlignment="1" applyProtection="1">
      <alignment horizontal="center" vertical="center"/>
      <protection locked="0"/>
    </xf>
    <xf numFmtId="0" fontId="20" fillId="4" borderId="27" xfId="0" applyFont="1" applyFill="1" applyBorder="1" applyAlignment="1" applyProtection="1">
      <alignment horizontal="center" vertical="center"/>
      <protection locked="0"/>
    </xf>
    <xf numFmtId="38" fontId="55" fillId="0" borderId="0" xfId="1" applyFont="1" applyAlignment="1" applyProtection="1">
      <alignment horizontal="center" vertical="center"/>
      <protection hidden="1"/>
    </xf>
    <xf numFmtId="0" fontId="7" fillId="0" borderId="19" xfId="0" applyFont="1" applyBorder="1" applyAlignment="1">
      <alignment horizontal="center" vertical="center"/>
    </xf>
    <xf numFmtId="0" fontId="10" fillId="0" borderId="20" xfId="0" applyFont="1" applyBorder="1" applyAlignment="1">
      <alignment horizontal="center" vertical="center"/>
    </xf>
    <xf numFmtId="0" fontId="13" fillId="11" borderId="0" xfId="0" applyFont="1" applyFill="1" applyAlignment="1">
      <alignment horizontal="center" vertical="center" wrapText="1"/>
    </xf>
    <xf numFmtId="0" fontId="11" fillId="11" borderId="0" xfId="0" applyFont="1" applyFill="1" applyAlignment="1">
      <alignment horizontal="center" vertical="center"/>
    </xf>
    <xf numFmtId="38" fontId="14" fillId="0" borderId="0" xfId="1" applyFont="1" applyAlignment="1" applyProtection="1">
      <alignment horizontal="center" vertical="center"/>
      <protection hidden="1"/>
    </xf>
    <xf numFmtId="0" fontId="43" fillId="9" borderId="0" xfId="0" applyFont="1" applyFill="1" applyBorder="1" applyAlignment="1">
      <alignment horizontal="left" vertical="center"/>
    </xf>
    <xf numFmtId="0" fontId="43" fillId="9" borderId="23" xfId="0" applyFont="1" applyFill="1" applyBorder="1" applyAlignment="1">
      <alignment horizontal="center" vertical="center"/>
    </xf>
    <xf numFmtId="0" fontId="46" fillId="4" borderId="41" xfId="0" applyFont="1" applyFill="1" applyBorder="1" applyAlignment="1" applyProtection="1">
      <alignment horizontal="center" vertical="center"/>
      <protection locked="0"/>
    </xf>
    <xf numFmtId="0" fontId="46" fillId="4" borderId="42"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36" xfId="0"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9" fillId="0" borderId="12" xfId="0" applyFont="1" applyBorder="1" applyAlignment="1">
      <alignment horizontal="center" vertical="center"/>
    </xf>
    <xf numFmtId="38" fontId="25" fillId="4" borderId="28" xfId="1" applyFont="1" applyFill="1" applyBorder="1" applyAlignment="1" applyProtection="1">
      <alignment horizontal="center" vertical="center"/>
      <protection locked="0"/>
    </xf>
    <xf numFmtId="38" fontId="25" fillId="4" borderId="29" xfId="1" applyFont="1" applyFill="1" applyBorder="1" applyAlignment="1" applyProtection="1">
      <alignment horizontal="center" vertical="center"/>
      <protection locked="0"/>
    </xf>
    <xf numFmtId="38" fontId="25" fillId="4" borderId="27" xfId="1" applyFont="1" applyFill="1" applyBorder="1" applyAlignment="1" applyProtection="1">
      <alignment horizontal="center" vertical="center"/>
      <protection locked="0"/>
    </xf>
    <xf numFmtId="0" fontId="9" fillId="0" borderId="0" xfId="0" applyFont="1" applyAlignment="1">
      <alignment horizontal="right" vertical="center"/>
    </xf>
    <xf numFmtId="38" fontId="25" fillId="4" borderId="34" xfId="1" applyFont="1" applyFill="1" applyBorder="1" applyAlignment="1" applyProtection="1">
      <alignment horizontal="center" vertical="center"/>
      <protection locked="0"/>
    </xf>
    <xf numFmtId="38" fontId="25" fillId="4" borderId="35" xfId="1" applyFont="1" applyFill="1" applyBorder="1" applyAlignment="1" applyProtection="1">
      <alignment horizontal="center" vertical="center"/>
      <protection locked="0"/>
    </xf>
    <xf numFmtId="38" fontId="25" fillId="4" borderId="33"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EC99"/>
      <color rgb="FFDA0000"/>
      <color rgb="FFFEF8CE"/>
      <color rgb="FF2C451B"/>
      <color rgb="FF88B4DC"/>
      <color rgb="FFC9E9AB"/>
      <color rgb="FFB5D383"/>
      <color rgb="FFE6EAAE"/>
      <color rgb="FFC0ECA8"/>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165976</xdr:colOff>
      <xdr:row>16</xdr:row>
      <xdr:rowOff>236458</xdr:rowOff>
    </xdr:from>
    <xdr:to>
      <xdr:col>23</xdr:col>
      <xdr:colOff>585107</xdr:colOff>
      <xdr:row>20</xdr:row>
      <xdr:rowOff>141293</xdr:rowOff>
    </xdr:to>
    <xdr:sp macro="" textlink="">
      <xdr:nvSpPr>
        <xdr:cNvPr id="7" name="角丸四角形吹き出し 6"/>
        <xdr:cNvSpPr/>
      </xdr:nvSpPr>
      <xdr:spPr>
        <a:xfrm>
          <a:off x="10221655" y="4590744"/>
          <a:ext cx="2024773" cy="843728"/>
        </a:xfrm>
        <a:prstGeom prst="wedgeRoundRectCallout">
          <a:avLst>
            <a:gd name="adj1" fmla="val -8295"/>
            <a:gd name="adj2" fmla="val -4754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0" rtlCol="0" anchor="t"/>
        <a:lstStyle/>
        <a:p>
          <a:pPr algn="l"/>
          <a:r>
            <a:rPr kumimoji="1" lang="ja-JP" altLang="en-US" sz="1200" b="0">
              <a:latin typeface="+mn-ea"/>
              <a:ea typeface="+mn-ea"/>
            </a:rPr>
            <a:t>更新担当者の方へ</a:t>
          </a:r>
          <a:endParaRPr kumimoji="1" lang="en-US" altLang="ja-JP" sz="1200" b="0">
            <a:latin typeface="+mn-ea"/>
            <a:ea typeface="+mn-ea"/>
          </a:endParaRPr>
        </a:p>
        <a:p>
          <a:pPr algn="l">
            <a:lnSpc>
              <a:spcPts val="1600"/>
            </a:lnSpc>
          </a:pPr>
          <a:r>
            <a:rPr kumimoji="1" lang="ja-JP" altLang="en-US" sz="1200" b="0">
              <a:latin typeface="+mn-ea"/>
              <a:ea typeface="+mn-ea"/>
            </a:rPr>
            <a:t>水色のセルを最新年度の</a:t>
          </a:r>
          <a:endParaRPr kumimoji="1" lang="en-US" altLang="ja-JP" sz="1200" b="0">
            <a:latin typeface="+mn-ea"/>
            <a:ea typeface="+mn-ea"/>
          </a:endParaRPr>
        </a:p>
        <a:p>
          <a:pPr algn="l">
            <a:lnSpc>
              <a:spcPts val="1600"/>
            </a:lnSpc>
          </a:pPr>
          <a:r>
            <a:rPr kumimoji="1" lang="ja-JP" altLang="en-US" sz="1200" b="0">
              <a:latin typeface="+mn-ea"/>
              <a:ea typeface="+mn-ea"/>
            </a:rPr>
            <a:t>数値に変更してください</a:t>
          </a:r>
          <a:endParaRPr kumimoji="1" lang="en-US" altLang="ja-JP" sz="1200" b="0">
            <a:latin typeface="+mn-ea"/>
            <a:ea typeface="+mn-ea"/>
          </a:endParaRPr>
        </a:p>
      </xdr:txBody>
    </xdr:sp>
    <xdr:clientData/>
  </xdr:twoCellAnchor>
  <xdr:twoCellAnchor>
    <xdr:from>
      <xdr:col>7</xdr:col>
      <xdr:colOff>22412</xdr:colOff>
      <xdr:row>16</xdr:row>
      <xdr:rowOff>308919</xdr:rowOff>
    </xdr:from>
    <xdr:to>
      <xdr:col>19</xdr:col>
      <xdr:colOff>28574</xdr:colOff>
      <xdr:row>32</xdr:row>
      <xdr:rowOff>11206</xdr:rowOff>
    </xdr:to>
    <xdr:sp macro="" textlink="">
      <xdr:nvSpPr>
        <xdr:cNvPr id="5" name="正方形/長方形 4"/>
        <xdr:cNvSpPr/>
      </xdr:nvSpPr>
      <xdr:spPr>
        <a:xfrm>
          <a:off x="3541059" y="4656801"/>
          <a:ext cx="5642721" cy="3030434"/>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105993</xdr:colOff>
      <xdr:row>18</xdr:row>
      <xdr:rowOff>12589</xdr:rowOff>
    </xdr:from>
    <xdr:to>
      <xdr:col>6</xdr:col>
      <xdr:colOff>61879</xdr:colOff>
      <xdr:row>22</xdr:row>
      <xdr:rowOff>26096</xdr:rowOff>
    </xdr:to>
    <xdr:sp macro="" textlink="">
      <xdr:nvSpPr>
        <xdr:cNvPr id="6" name="角丸四角形吹き出し 5"/>
        <xdr:cNvSpPr/>
      </xdr:nvSpPr>
      <xdr:spPr>
        <a:xfrm>
          <a:off x="105993" y="4879864"/>
          <a:ext cx="2794336" cy="813607"/>
        </a:xfrm>
        <a:prstGeom prst="wedgeRoundRectCallout">
          <a:avLst>
            <a:gd name="adj1" fmla="val -8549"/>
            <a:gd name="adj2" fmla="val -68313"/>
            <a:gd name="adj3" fmla="val 16667"/>
          </a:avLst>
        </a:prstGeom>
        <a:solidFill>
          <a:srgbClr val="E6EAAE"/>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lIns="0" tIns="36000" rIns="0" bIns="36000" rtlCol="0" anchor="t"/>
        <a:lstStyle/>
        <a:p>
          <a:pPr algn="ctr"/>
          <a:r>
            <a:rPr kumimoji="1" lang="ja-JP" altLang="en-US" sz="1150">
              <a:solidFill>
                <a:schemeClr val="bg2">
                  <a:lumMod val="10000"/>
                </a:schemeClr>
              </a:solidFill>
              <a:latin typeface="HGPｺﾞｼｯｸE" panose="020B0900000000000000" pitchFamily="50" charset="-128"/>
              <a:ea typeface="HGPｺﾞｼｯｸE" panose="020B0900000000000000" pitchFamily="50" charset="-128"/>
            </a:rPr>
            <a:t>北区への転入や、会社の退職をした月</a:t>
          </a:r>
          <a:endParaRPr kumimoji="1" lang="en-US" altLang="ja-JP" sz="1150">
            <a:solidFill>
              <a:schemeClr val="bg2">
                <a:lumMod val="10000"/>
              </a:schemeClr>
            </a:solidFill>
            <a:latin typeface="HGPｺﾞｼｯｸE" panose="020B0900000000000000" pitchFamily="50" charset="-128"/>
            <a:ea typeface="HGPｺﾞｼｯｸE" panose="020B0900000000000000" pitchFamily="50" charset="-128"/>
          </a:endParaRPr>
        </a:p>
        <a:p>
          <a:pPr algn="ctr"/>
          <a:r>
            <a:rPr kumimoji="1" lang="ja-JP" altLang="en-US" sz="1150">
              <a:solidFill>
                <a:schemeClr val="bg2">
                  <a:lumMod val="10000"/>
                </a:schemeClr>
              </a:solidFill>
              <a:latin typeface="HGPｺﾞｼｯｸE" panose="020B0900000000000000" pitchFamily="50" charset="-128"/>
              <a:ea typeface="HGPｺﾞｼｯｸE" panose="020B0900000000000000" pitchFamily="50" charset="-128"/>
            </a:rPr>
            <a:t>（退職日が月末最終日の場合は翌月）</a:t>
          </a:r>
          <a:endParaRPr kumimoji="1" lang="en-US" altLang="ja-JP" sz="1150">
            <a:solidFill>
              <a:schemeClr val="bg2">
                <a:lumMod val="10000"/>
              </a:schemeClr>
            </a:solidFill>
            <a:latin typeface="HGPｺﾞｼｯｸE" panose="020B0900000000000000" pitchFamily="50" charset="-128"/>
            <a:ea typeface="HGPｺﾞｼｯｸE" panose="020B0900000000000000" pitchFamily="50" charset="-128"/>
          </a:endParaRPr>
        </a:p>
        <a:p>
          <a:pPr algn="ctr"/>
          <a:endParaRPr kumimoji="1" lang="en-US" altLang="ja-JP" sz="300">
            <a:solidFill>
              <a:schemeClr val="bg2">
                <a:lumMod val="10000"/>
              </a:schemeClr>
            </a:solidFill>
            <a:latin typeface="HGPｺﾞｼｯｸE" panose="020B0900000000000000" pitchFamily="50" charset="-128"/>
            <a:ea typeface="HGPｺﾞｼｯｸE" panose="020B0900000000000000" pitchFamily="50" charset="-128"/>
          </a:endParaRPr>
        </a:p>
        <a:p>
          <a:pPr algn="ctr"/>
          <a:r>
            <a:rPr kumimoji="1" lang="en-US" altLang="ja-JP" sz="1100" b="0">
              <a:solidFill>
                <a:schemeClr val="bg2">
                  <a:lumMod val="10000"/>
                </a:schemeClr>
              </a:solidFill>
              <a:latin typeface="HGPｺﾞｼｯｸE" panose="020B0900000000000000" pitchFamily="50" charset="-128"/>
              <a:ea typeface="HGPｺﾞｼｯｸE" panose="020B0900000000000000" pitchFamily="50" charset="-128"/>
            </a:rPr>
            <a:t>※</a:t>
          </a:r>
          <a:r>
            <a:rPr kumimoji="1" lang="ja-JP" altLang="en-US" sz="1100" b="0">
              <a:solidFill>
                <a:schemeClr val="bg2">
                  <a:lumMod val="10000"/>
                </a:schemeClr>
              </a:solidFill>
              <a:latin typeface="HGPｺﾞｼｯｸE" panose="020B0900000000000000" pitchFamily="50" charset="-128"/>
              <a:ea typeface="HGPｺﾞｼｯｸE" panose="020B0900000000000000" pitchFamily="50" charset="-128"/>
            </a:rPr>
            <a:t>昨年度から加入している方は４月を選択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K52"/>
  <sheetViews>
    <sheetView showGridLines="0" showRowColHeaders="0" tabSelected="1" zoomScale="70" zoomScaleNormal="70" workbookViewId="0">
      <selection activeCell="C8" sqref="C8:D8"/>
    </sheetView>
  </sheetViews>
  <sheetFormatPr defaultRowHeight="18.75" x14ac:dyDescent="0.4"/>
  <cols>
    <col min="1" max="5" width="6.25" customWidth="1"/>
    <col min="6" max="6" width="6" customWidth="1"/>
    <col min="7" max="7" width="8.5" customWidth="1"/>
    <col min="8" max="10" width="6.25" customWidth="1"/>
    <col min="11" max="11" width="5.5" customWidth="1"/>
    <col min="12" max="14" width="6.25" customWidth="1"/>
    <col min="15" max="15" width="6.75" customWidth="1"/>
    <col min="16" max="16" width="6.25" customWidth="1"/>
    <col min="17" max="17" width="5.625" customWidth="1"/>
    <col min="18" max="18" width="8.25" customWidth="1"/>
    <col min="19" max="19" width="3.625" style="91" customWidth="1"/>
    <col min="20" max="21" width="6.25" customWidth="1"/>
    <col min="22" max="22" width="11.25" style="6" hidden="1" customWidth="1"/>
    <col min="23" max="23" width="9.875" hidden="1" customWidth="1"/>
    <col min="24" max="25" width="9.625" hidden="1" customWidth="1"/>
    <col min="26" max="26" width="10.5" hidden="1" customWidth="1"/>
    <col min="27" max="27" width="9.5" hidden="1" customWidth="1"/>
    <col min="28" max="28" width="8.625" hidden="1" customWidth="1"/>
    <col min="29" max="29" width="9" hidden="1" customWidth="1"/>
    <col min="30" max="30" width="10.375" hidden="1" customWidth="1"/>
    <col min="31" max="31" width="9.5" style="2" hidden="1" customWidth="1"/>
    <col min="32" max="32" width="9.25" hidden="1" customWidth="1"/>
    <col min="33" max="33" width="13.5" hidden="1" customWidth="1"/>
    <col min="34" max="34" width="9.5" hidden="1" customWidth="1"/>
    <col min="35" max="35" width="9.875" hidden="1" customWidth="1"/>
    <col min="36" max="36" width="9" hidden="1" customWidth="1"/>
    <col min="37" max="37" width="9.375" bestFit="1" customWidth="1"/>
  </cols>
  <sheetData>
    <row r="1" spans="1:36" ht="51.75" customHeight="1" x14ac:dyDescent="0.35">
      <c r="A1" s="104" t="s">
        <v>11</v>
      </c>
      <c r="V1" s="207" t="s">
        <v>63</v>
      </c>
      <c r="W1" s="208"/>
      <c r="AI1" s="78" t="s">
        <v>13</v>
      </c>
      <c r="AJ1" s="78" t="s">
        <v>67</v>
      </c>
    </row>
    <row r="2" spans="1:36" s="56" customFormat="1" ht="24" customHeight="1" x14ac:dyDescent="0.4">
      <c r="A2" s="55" t="s">
        <v>111</v>
      </c>
      <c r="K2" s="209" t="str">
        <f>IF(AND(M8 &lt;&gt; "",J8 &lt;&gt; "",D17 &lt;&gt; ""),IF(Y17&lt;&gt; "", ROUNDUP(IF($D$17="１月",Z17/4,IF($D$17="２月", Z17/6,IF($D$17="３月", Z17/12,( Z17/12*(12-(LEFT($D$17, LEN($D$17) - 1)-4)))))),-2),SUM(AA22:AG22)),"")</f>
        <v/>
      </c>
      <c r="L2" s="209"/>
      <c r="M2" s="209"/>
      <c r="N2" s="57" t="s">
        <v>41</v>
      </c>
      <c r="Q2" s="25"/>
      <c r="S2" s="91"/>
      <c r="T2" s="39"/>
      <c r="U2" s="1"/>
      <c r="V2" s="222" t="s">
        <v>27</v>
      </c>
      <c r="W2" s="223"/>
      <c r="X2" s="223"/>
      <c r="Y2" s="224"/>
      <c r="Z2" s="217" t="s">
        <v>16</v>
      </c>
      <c r="AA2" s="219"/>
      <c r="AB2" s="225" t="s">
        <v>17</v>
      </c>
      <c r="AC2" s="218"/>
      <c r="AD2" s="225" t="s">
        <v>18</v>
      </c>
      <c r="AE2" s="218"/>
      <c r="AF2" s="220" t="s">
        <v>31</v>
      </c>
      <c r="AG2" s="217" t="s">
        <v>54</v>
      </c>
      <c r="AH2" s="218"/>
      <c r="AI2" s="81" t="s">
        <v>58</v>
      </c>
      <c r="AJ2" s="98" t="s">
        <v>68</v>
      </c>
    </row>
    <row r="3" spans="1:36" s="56" customFormat="1" ht="24.75" customHeight="1" x14ac:dyDescent="0.4">
      <c r="A3" s="55" t="s">
        <v>82</v>
      </c>
      <c r="F3" s="201" t="str">
        <f>IF(K2 &lt;&gt; "",ROUNDUP(IF(OR(D17="４月",D17="５月"),K2/10,IF(D17="１月",K2/2,IF(OR(D17="２月",D17="３月"),K2,(K2/(12-(LEFT($D$17, LEN($D$17) - 1)-3)))))),-1),"")</f>
        <v/>
      </c>
      <c r="G3" s="201"/>
      <c r="H3" s="105" t="s">
        <v>94</v>
      </c>
      <c r="J3" s="91" t="s">
        <v>95</v>
      </c>
      <c r="K3" s="142" t="str">
        <f>IF(D17 &lt;&gt; "",D17,"")</f>
        <v/>
      </c>
      <c r="L3" s="108" t="s">
        <v>98</v>
      </c>
      <c r="M3" s="106"/>
      <c r="N3" s="57"/>
      <c r="Q3" s="25"/>
      <c r="S3" s="91"/>
      <c r="V3" s="13"/>
      <c r="W3" s="14" t="s">
        <v>25</v>
      </c>
      <c r="X3" s="14" t="s">
        <v>30</v>
      </c>
      <c r="Y3" s="14" t="s">
        <v>29</v>
      </c>
      <c r="Z3" s="13" t="s">
        <v>19</v>
      </c>
      <c r="AA3" s="12" t="s">
        <v>20</v>
      </c>
      <c r="AB3" s="11" t="s">
        <v>19</v>
      </c>
      <c r="AC3" s="12" t="s">
        <v>20</v>
      </c>
      <c r="AD3" s="11" t="s">
        <v>19</v>
      </c>
      <c r="AE3" s="12" t="s">
        <v>20</v>
      </c>
      <c r="AF3" s="221"/>
      <c r="AG3" s="61" t="s">
        <v>90</v>
      </c>
      <c r="AH3" s="62" t="s">
        <v>91</v>
      </c>
      <c r="AI3" s="109" t="s">
        <v>8</v>
      </c>
      <c r="AJ3" s="98" t="s">
        <v>69</v>
      </c>
    </row>
    <row r="4" spans="1:36" ht="15" customHeight="1" x14ac:dyDescent="0.4">
      <c r="A4" s="47" t="str">
        <f ca="1">IF(AND(AD15 &lt;&gt; "",M8 &lt;&gt; "",K2 &lt;&gt; ""),"※今回の試算結果は、世帯の所得状況をふまえて、均等割額の","")</f>
        <v/>
      </c>
      <c r="C4" s="48"/>
      <c r="D4" s="48"/>
      <c r="E4" s="48"/>
      <c r="F4" s="48"/>
      <c r="G4" s="48"/>
      <c r="I4" s="134" t="str">
        <f ca="1">IF(AND(AD15 &lt;&gt; "",M8 &lt;&gt; "",K2 &lt;&gt; ""),AD15,"")</f>
        <v/>
      </c>
      <c r="J4" s="48" t="str">
        <f ca="1">IF(AND(AD15 &lt;&gt; "",M8 &lt;&gt; "",K2 &lt;&gt; ""),"割減額が適用中です。","")</f>
        <v/>
      </c>
      <c r="M4" s="48"/>
      <c r="N4" s="48"/>
      <c r="P4" s="49"/>
      <c r="Q4" s="50"/>
      <c r="R4" s="51"/>
      <c r="V4" s="15" t="s">
        <v>1</v>
      </c>
      <c r="W4" s="16" t="str">
        <f>IF(M8="加入している",IF(C8="40歳～64歳","有",IF(COUNTIF(C8,"*以*"),"無","")),"")</f>
        <v/>
      </c>
      <c r="X4" s="16" t="str">
        <f>IF(W4 &lt;&gt; "", Z26-430000,"")</f>
        <v/>
      </c>
      <c r="Y4" s="16" t="str">
        <f>IF(W4 &lt;&gt; "", IF(X4&lt;0,0,X4),"")</f>
        <v/>
      </c>
      <c r="Z4" s="76" t="str">
        <f>IF(W4 &lt;&gt; "", Y4*$W$14%,"")</f>
        <v/>
      </c>
      <c r="AA4" s="33" t="str">
        <f t="shared" ref="AA4:AA10" si="0">IF(W4 &lt;&gt; "", $X$14,IF(C8="未就学児",$X$14/2,""))</f>
        <v/>
      </c>
      <c r="AB4" s="74" t="str">
        <f t="shared" ref="AB4:AB10" si="1">IF(W4 &lt;&gt; "", Y4*$W$15%,"")</f>
        <v/>
      </c>
      <c r="AC4" s="34" t="str">
        <f t="shared" ref="AC4:AC10" si="2">IF(W4 &lt;&gt; "", $X$15,IF(C8="未就学児",$X$15/2,""))</f>
        <v/>
      </c>
      <c r="AD4" s="17" t="str">
        <f>IF(W4="有", Y4*$W$16%,"")</f>
        <v/>
      </c>
      <c r="AE4" s="34" t="str">
        <f t="shared" ref="AE4:AE10" si="3">IF(W4="有", $X$16,"")</f>
        <v/>
      </c>
      <c r="AF4" s="43">
        <f>ROUNDUP(SUM(Z4:AE4),-2)</f>
        <v>0</v>
      </c>
      <c r="AG4" s="129">
        <f t="shared" ref="AG4:AG10" ca="1" si="4">IF(AND(C8="65歳以上",J8="年金"),MAX(OFFSET(V26, 0, 4)-150000,0),Z26)</f>
        <v>0</v>
      </c>
      <c r="AH4" s="59" t="str">
        <f>IF(AND(J8="給与",E8&gt;550000),"〇",IF(AND(AND(J8="年金",C8="40歳～64歳"),E8&gt;600000),"〇",IF(AND(AND(J8="年金",C8="65歳以上"),E8&gt;1250000),"〇","")))</f>
        <v/>
      </c>
      <c r="AI4" s="81" t="s">
        <v>9</v>
      </c>
      <c r="AJ4" s="98" t="s">
        <v>70</v>
      </c>
    </row>
    <row r="5" spans="1:36" ht="15" customHeight="1" x14ac:dyDescent="0.4">
      <c r="A5" s="47" t="str">
        <f ca="1">IF(AND(AD15 &lt;&gt; "",M8 &lt;&gt; "",K2 &lt;&gt; ""),"　 ただし、世帯に前年の所得を申告していない方がいる場合は減額が適用されず、年間保険料は 約","")</f>
        <v/>
      </c>
      <c r="B5" s="48"/>
      <c r="C5" s="48"/>
      <c r="D5" s="48"/>
      <c r="E5" s="48"/>
      <c r="F5" s="48"/>
      <c r="G5" s="48"/>
      <c r="H5" s="48"/>
      <c r="I5" s="48"/>
      <c r="J5" s="48"/>
      <c r="K5" s="49"/>
      <c r="L5" s="49"/>
      <c r="M5" s="204" t="str">
        <f ca="1">IF(AND(AD15 &lt;&gt; "",M8 &lt;&gt; "",K2 &lt;&gt; ""),ROUNDUP(IF($D$17="１月",AF12/4,IF($D$17="２月", AF12/6,IF($D$17="３月", AF12/12,( AF12/12*(12-(LEFT($D$17, LEN($D$17) - 1)-4)))))),-1),"")</f>
        <v/>
      </c>
      <c r="N5" s="204"/>
      <c r="O5" s="48" t="str">
        <f ca="1">IF(AND(AD15 &lt;&gt; "",M8 &lt;&gt; "",K2 &lt;&gt; ""),"円です。","")</f>
        <v/>
      </c>
      <c r="P5" s="48" t="str">
        <f ca="1">IF(AND(AD15 &lt;&gt; "",M8 &lt;&gt; "",K2 &lt;&gt; ""),"（１回の納付額","")</f>
        <v/>
      </c>
      <c r="R5" s="136" t="str">
        <f ca="1">IF(M5 &lt;&gt; "",ROUNDUP(IF(OR(D17="４月",D17="５月"), M5/10,IF(D17="１月", M5/2,IF(OR(D17="２月",D17="３月"), M5, (M5/(12-(LEFT($D$17, LEN($D$17) - 1)-3)))))),-1),"")</f>
        <v/>
      </c>
      <c r="S5" s="135" t="str">
        <f ca="1">IF(AND(AD15 &lt;&gt; "",M8 &lt;&gt; "",K2 &lt;&gt; ""),"円）","")</f>
        <v/>
      </c>
      <c r="V5" s="18" t="s">
        <v>2</v>
      </c>
      <c r="W5" s="16" t="str">
        <f t="shared" ref="W5:W10" si="5">IF(C9="40歳～64歳","有",IF(COUNTIF(C9,"*以*"),"無",""))</f>
        <v/>
      </c>
      <c r="X5" s="16" t="str">
        <f>IF(W5 &lt;&gt; "", Z27-430000,"")</f>
        <v/>
      </c>
      <c r="Y5" s="16" t="str">
        <f>IF(W5 &lt;&gt; "", IF(X5&lt;0,0,X5),"")</f>
        <v/>
      </c>
      <c r="Z5" s="76" t="str">
        <f>IF(W5 &lt;&gt; "", Y5*$W$14%,"")</f>
        <v/>
      </c>
      <c r="AA5" s="34" t="str">
        <f t="shared" si="0"/>
        <v/>
      </c>
      <c r="AB5" s="74" t="str">
        <f t="shared" si="1"/>
        <v/>
      </c>
      <c r="AC5" s="34" t="str">
        <f t="shared" si="2"/>
        <v/>
      </c>
      <c r="AD5" s="17" t="str">
        <f t="shared" ref="AD5:AD10" si="6">IF(W5="有", Y5*$W$16%,"")</f>
        <v/>
      </c>
      <c r="AE5" s="34" t="str">
        <f t="shared" si="3"/>
        <v/>
      </c>
      <c r="AF5" s="44">
        <f t="shared" ref="AF5:AF10" si="7">ROUNDUP(SUM(Z5:AE5),-2)</f>
        <v>0</v>
      </c>
      <c r="AG5" s="130">
        <f ca="1">IF(AND(C9="65歳以上",J9="年金"),MAX(OFFSET(V27, 0, 4)-150000,0),Z27)</f>
        <v>0</v>
      </c>
      <c r="AH5" s="60" t="str">
        <f t="shared" ref="AH5:AH10" si="8">IF(AND(J9="給与",E9&gt;550000),"〇",IF(AND(AND(J9="年金",C9="40歳～64歳"),E9&gt;600000),"〇",IF(AND(AND(J9="年金",C9="65歳以上"),E9&gt;1250000),"〇","")))</f>
        <v/>
      </c>
      <c r="AI5" s="81" t="s">
        <v>10</v>
      </c>
      <c r="AJ5" s="98" t="s">
        <v>71</v>
      </c>
    </row>
    <row r="6" spans="1:36" ht="15" customHeight="1" x14ac:dyDescent="0.4">
      <c r="A6" s="54" t="str">
        <f>IF(OR(Z11&lt;&gt;AA11,AB11&lt;&gt;AC11,AD11&lt;&gt;AE11),"
※世帯の年間保険料が限度額に達しています。「個人別年間保険料」の合計は限度額適用前の金額であり、世帯の年間保険料と一致しませんのでご承知おきください。","")</f>
        <v/>
      </c>
      <c r="B6" s="48"/>
      <c r="C6" s="48"/>
      <c r="D6" s="48"/>
      <c r="E6" s="48"/>
      <c r="F6" s="48"/>
      <c r="G6" s="48"/>
      <c r="H6" s="48"/>
      <c r="I6" s="48"/>
      <c r="J6" s="48"/>
      <c r="K6" s="49"/>
      <c r="L6" s="49"/>
      <c r="M6" s="52"/>
      <c r="N6" s="52"/>
      <c r="O6" s="48"/>
      <c r="P6" s="49"/>
      <c r="Q6" s="49"/>
      <c r="R6" s="49"/>
      <c r="S6" s="53"/>
      <c r="V6" s="18" t="s">
        <v>3</v>
      </c>
      <c r="W6" s="16" t="str">
        <f t="shared" si="5"/>
        <v/>
      </c>
      <c r="X6" s="16" t="str">
        <f t="shared" ref="X6:X10" si="9">IF(W6 &lt;&gt; "", Z28-430000,"")</f>
        <v/>
      </c>
      <c r="Y6" s="16" t="str">
        <f>IF(W6 &lt;&gt; "", IF(X6&lt;0,0,X6),"")</f>
        <v/>
      </c>
      <c r="Z6" s="76" t="str">
        <f>IF(W6 &lt;&gt; "", Y6*$W$14%,"")</f>
        <v/>
      </c>
      <c r="AA6" s="34" t="str">
        <f t="shared" si="0"/>
        <v/>
      </c>
      <c r="AB6" s="74" t="str">
        <f t="shared" si="1"/>
        <v/>
      </c>
      <c r="AC6" s="34" t="str">
        <f t="shared" si="2"/>
        <v/>
      </c>
      <c r="AD6" s="17" t="str">
        <f t="shared" si="6"/>
        <v/>
      </c>
      <c r="AE6" s="34" t="str">
        <f t="shared" si="3"/>
        <v/>
      </c>
      <c r="AF6" s="44">
        <f t="shared" si="7"/>
        <v>0</v>
      </c>
      <c r="AG6" s="130">
        <f t="shared" ca="1" si="4"/>
        <v>0</v>
      </c>
      <c r="AH6" s="60" t="str">
        <f t="shared" si="8"/>
        <v/>
      </c>
      <c r="AI6" s="79" t="s">
        <v>14</v>
      </c>
      <c r="AJ6" s="98" t="s">
        <v>72</v>
      </c>
    </row>
    <row r="7" spans="1:36" ht="21.75" customHeight="1" thickBot="1" x14ac:dyDescent="0.45">
      <c r="A7" s="194" t="s">
        <v>0</v>
      </c>
      <c r="B7" s="194"/>
      <c r="C7" s="89" t="s">
        <v>56</v>
      </c>
      <c r="D7" s="68" t="s">
        <v>55</v>
      </c>
      <c r="E7" s="95" t="s">
        <v>114</v>
      </c>
      <c r="F7" s="90"/>
      <c r="G7" s="90"/>
      <c r="H7" s="90"/>
      <c r="I7" s="69" t="s">
        <v>57</v>
      </c>
      <c r="J7" s="210" t="s">
        <v>96</v>
      </c>
      <c r="K7" s="210"/>
      <c r="L7" s="68" t="s">
        <v>55</v>
      </c>
      <c r="M7" s="90" t="s">
        <v>106</v>
      </c>
      <c r="N7" s="90"/>
      <c r="O7" s="90"/>
      <c r="P7" s="68" t="s">
        <v>55</v>
      </c>
      <c r="Q7" s="211" t="s">
        <v>66</v>
      </c>
      <c r="R7" s="194"/>
      <c r="S7" s="194"/>
      <c r="U7" s="1"/>
      <c r="V7" s="18" t="s">
        <v>5</v>
      </c>
      <c r="W7" s="16" t="str">
        <f t="shared" si="5"/>
        <v/>
      </c>
      <c r="X7" s="16" t="str">
        <f t="shared" si="9"/>
        <v/>
      </c>
      <c r="Y7" s="16" t="str">
        <f>IF(W7 &lt;&gt; "", IF(X7&lt;0,0,X7),"")</f>
        <v/>
      </c>
      <c r="Z7" s="76" t="str">
        <f t="shared" ref="Z7:Z10" si="10">IF(W7 &lt;&gt; "", Y7*$W$14%,"")</f>
        <v/>
      </c>
      <c r="AA7" s="34" t="str">
        <f t="shared" si="0"/>
        <v/>
      </c>
      <c r="AB7" s="74" t="str">
        <f t="shared" si="1"/>
        <v/>
      </c>
      <c r="AC7" s="34" t="str">
        <f t="shared" si="2"/>
        <v/>
      </c>
      <c r="AD7" s="17" t="str">
        <f t="shared" si="6"/>
        <v/>
      </c>
      <c r="AE7" s="34" t="str">
        <f t="shared" si="3"/>
        <v/>
      </c>
      <c r="AF7" s="44">
        <f t="shared" si="7"/>
        <v>0</v>
      </c>
      <c r="AG7" s="130">
        <f t="shared" ca="1" si="4"/>
        <v>0</v>
      </c>
      <c r="AH7" s="60" t="str">
        <f>IF(AND(J11="給与",E11&gt;550000),"〇",IF(AND(AND(J11="年金",C11="40歳～64歳"),E11&gt;600000),"〇",IF(AND(AND(J11="年金",C11="65歳以上"),E11&gt;1250000),"〇","")))</f>
        <v/>
      </c>
      <c r="AI7" s="82" t="s">
        <v>12</v>
      </c>
      <c r="AJ7" s="98" t="s">
        <v>73</v>
      </c>
    </row>
    <row r="8" spans="1:36" ht="20.25" customHeight="1" thickTop="1" thickBot="1" x14ac:dyDescent="0.2">
      <c r="A8" s="195" t="s">
        <v>1</v>
      </c>
      <c r="B8" s="177"/>
      <c r="C8" s="202"/>
      <c r="D8" s="203"/>
      <c r="E8" s="226"/>
      <c r="F8" s="227"/>
      <c r="G8" s="227"/>
      <c r="H8" s="227"/>
      <c r="I8" s="228"/>
      <c r="J8" s="199"/>
      <c r="K8" s="200"/>
      <c r="L8" s="200"/>
      <c r="M8" s="196"/>
      <c r="N8" s="197"/>
      <c r="O8" s="197"/>
      <c r="P8" s="198"/>
      <c r="Q8" s="182" t="str">
        <f>IF(AND(C8&lt;&gt;"",J8&lt;&gt;""),AA22,"")</f>
        <v/>
      </c>
      <c r="R8" s="182"/>
      <c r="S8" s="92" t="s">
        <v>42</v>
      </c>
      <c r="V8" s="18" t="s">
        <v>4</v>
      </c>
      <c r="W8" s="16" t="str">
        <f t="shared" si="5"/>
        <v/>
      </c>
      <c r="X8" s="16" t="str">
        <f t="shared" si="9"/>
        <v/>
      </c>
      <c r="Y8" s="16" t="str">
        <f>IF(W8 &lt;&gt; "", IF(X8&lt;0,0,X8),"")</f>
        <v/>
      </c>
      <c r="Z8" s="76" t="str">
        <f t="shared" si="10"/>
        <v/>
      </c>
      <c r="AA8" s="34" t="str">
        <f t="shared" si="0"/>
        <v/>
      </c>
      <c r="AB8" s="74" t="str">
        <f t="shared" si="1"/>
        <v/>
      </c>
      <c r="AC8" s="34" t="str">
        <f t="shared" si="2"/>
        <v/>
      </c>
      <c r="AD8" s="17" t="str">
        <f t="shared" si="6"/>
        <v/>
      </c>
      <c r="AE8" s="34" t="str">
        <f t="shared" si="3"/>
        <v/>
      </c>
      <c r="AF8" s="44">
        <f t="shared" si="7"/>
        <v>0</v>
      </c>
      <c r="AG8" s="130">
        <f t="shared" ca="1" si="4"/>
        <v>0</v>
      </c>
      <c r="AH8" s="60" t="str">
        <f t="shared" si="8"/>
        <v/>
      </c>
      <c r="AI8" s="81" t="s">
        <v>15</v>
      </c>
      <c r="AJ8" s="98" t="s">
        <v>74</v>
      </c>
    </row>
    <row r="9" spans="1:36" ht="19.5" thickTop="1" x14ac:dyDescent="0.15">
      <c r="A9" s="177" t="s">
        <v>2</v>
      </c>
      <c r="B9" s="178"/>
      <c r="C9" s="183"/>
      <c r="D9" s="184"/>
      <c r="E9" s="179"/>
      <c r="F9" s="180"/>
      <c r="G9" s="180"/>
      <c r="H9" s="180"/>
      <c r="I9" s="181"/>
      <c r="J9" s="187"/>
      <c r="K9" s="188"/>
      <c r="L9" s="189"/>
      <c r="M9" s="190" t="str">
        <f>IF(AND(M8="加入していない",J8=""),"世帯主が国保に加入していない場合でも、世帯主の収入と種類を入力してください","")</f>
        <v/>
      </c>
      <c r="N9" s="191"/>
      <c r="O9" s="191"/>
      <c r="P9" s="191"/>
      <c r="Q9" s="182" t="str">
        <f>IF(AND(C9&lt;&gt;"",J9&lt;&gt;""),AB22,"")</f>
        <v/>
      </c>
      <c r="R9" s="182"/>
      <c r="S9" s="92" t="s">
        <v>42</v>
      </c>
      <c r="V9" s="18" t="s">
        <v>6</v>
      </c>
      <c r="W9" s="16" t="str">
        <f t="shared" si="5"/>
        <v/>
      </c>
      <c r="X9" s="16" t="str">
        <f t="shared" si="9"/>
        <v/>
      </c>
      <c r="Y9" s="16" t="str">
        <f t="shared" ref="Y9:Y10" si="11">IF(W9 &lt;&gt; "", IF(X9&lt;0,0,X9),"")</f>
        <v/>
      </c>
      <c r="Z9" s="76" t="str">
        <f t="shared" si="10"/>
        <v/>
      </c>
      <c r="AA9" s="34" t="str">
        <f t="shared" si="0"/>
        <v/>
      </c>
      <c r="AB9" s="74" t="str">
        <f t="shared" si="1"/>
        <v/>
      </c>
      <c r="AC9" s="34" t="str">
        <f t="shared" si="2"/>
        <v/>
      </c>
      <c r="AD9" s="17" t="str">
        <f t="shared" si="6"/>
        <v/>
      </c>
      <c r="AE9" s="34" t="str">
        <f t="shared" si="3"/>
        <v/>
      </c>
      <c r="AF9" s="44">
        <f t="shared" si="7"/>
        <v>0</v>
      </c>
      <c r="AG9" s="130">
        <f t="shared" ca="1" si="4"/>
        <v>0</v>
      </c>
      <c r="AH9" s="60" t="str">
        <f t="shared" si="8"/>
        <v/>
      </c>
      <c r="AI9" s="80" t="s">
        <v>44</v>
      </c>
      <c r="AJ9" s="98" t="s">
        <v>75</v>
      </c>
    </row>
    <row r="10" spans="1:36" x14ac:dyDescent="0.15">
      <c r="A10" s="177" t="s">
        <v>3</v>
      </c>
      <c r="B10" s="178"/>
      <c r="C10" s="183"/>
      <c r="D10" s="184"/>
      <c r="E10" s="179"/>
      <c r="F10" s="180"/>
      <c r="G10" s="180"/>
      <c r="H10" s="180"/>
      <c r="I10" s="181"/>
      <c r="J10" s="187"/>
      <c r="K10" s="188"/>
      <c r="L10" s="189"/>
      <c r="M10" s="192"/>
      <c r="N10" s="193"/>
      <c r="O10" s="193"/>
      <c r="P10" s="193"/>
      <c r="Q10" s="182" t="str">
        <f>IF(AND(C10&lt;&gt;"",J10&lt;&gt;""),AC22,"")</f>
        <v/>
      </c>
      <c r="R10" s="182"/>
      <c r="S10" s="92" t="s">
        <v>42</v>
      </c>
      <c r="V10" s="19" t="s">
        <v>7</v>
      </c>
      <c r="W10" s="20" t="str">
        <f t="shared" si="5"/>
        <v/>
      </c>
      <c r="X10" s="20" t="str">
        <f t="shared" si="9"/>
        <v/>
      </c>
      <c r="Y10" s="20" t="str">
        <f t="shared" si="11"/>
        <v/>
      </c>
      <c r="Z10" s="75" t="str">
        <f t="shared" si="10"/>
        <v/>
      </c>
      <c r="AA10" s="35" t="str">
        <f t="shared" si="0"/>
        <v/>
      </c>
      <c r="AB10" s="75" t="str">
        <f t="shared" si="1"/>
        <v/>
      </c>
      <c r="AC10" s="34" t="str">
        <f t="shared" si="2"/>
        <v/>
      </c>
      <c r="AD10" s="21" t="str">
        <f t="shared" si="6"/>
        <v/>
      </c>
      <c r="AE10" s="35" t="str">
        <f t="shared" si="3"/>
        <v/>
      </c>
      <c r="AF10" s="23">
        <f t="shared" si="7"/>
        <v>0</v>
      </c>
      <c r="AG10" s="130">
        <f t="shared" ca="1" si="4"/>
        <v>0</v>
      </c>
      <c r="AH10" s="131" t="str">
        <f t="shared" si="8"/>
        <v/>
      </c>
      <c r="AI10" s="83" t="s">
        <v>45</v>
      </c>
      <c r="AJ10" s="98" t="s">
        <v>76</v>
      </c>
    </row>
    <row r="11" spans="1:36" x14ac:dyDescent="0.15">
      <c r="A11" s="177" t="s">
        <v>5</v>
      </c>
      <c r="B11" s="178"/>
      <c r="C11" s="183"/>
      <c r="D11" s="184"/>
      <c r="E11" s="179"/>
      <c r="F11" s="180"/>
      <c r="G11" s="180"/>
      <c r="H11" s="180"/>
      <c r="I11" s="181"/>
      <c r="J11" s="187"/>
      <c r="K11" s="188"/>
      <c r="L11" s="189"/>
      <c r="M11" s="192"/>
      <c r="N11" s="193"/>
      <c r="O11" s="193"/>
      <c r="P11" s="193"/>
      <c r="Q11" s="182" t="str">
        <f>IF(AND(C11&lt;&gt;"",J11&lt;&gt;""),AD22,"")</f>
        <v/>
      </c>
      <c r="R11" s="182"/>
      <c r="S11" s="92" t="s">
        <v>42</v>
      </c>
      <c r="V11" s="7"/>
      <c r="Z11" s="73">
        <f>IF(AA11&gt;Y14,Y14,AA11)</f>
        <v>0</v>
      </c>
      <c r="AA11" s="73">
        <f>SUM(Z4:AA10)</f>
        <v>0</v>
      </c>
      <c r="AB11" s="73">
        <f>IF(AC11&gt;Y15,Y15,AC11)</f>
        <v>0</v>
      </c>
      <c r="AC11" s="73">
        <f>SUM(AB4:AC10)</f>
        <v>0</v>
      </c>
      <c r="AD11" s="10">
        <f>IF(AE11&gt;Y16,Y16,AE11)</f>
        <v>0</v>
      </c>
      <c r="AE11" s="10">
        <f>SUM(AD4:AE10)</f>
        <v>0</v>
      </c>
      <c r="AF11" s="77">
        <f>Z11+AB11+AD11</f>
        <v>0</v>
      </c>
      <c r="AG11" s="85" t="s">
        <v>43</v>
      </c>
      <c r="AI11" s="84" t="s">
        <v>46</v>
      </c>
      <c r="AJ11" s="98" t="s">
        <v>77</v>
      </c>
    </row>
    <row r="12" spans="1:36" ht="18.75" customHeight="1" x14ac:dyDescent="0.15">
      <c r="A12" s="177" t="s">
        <v>4</v>
      </c>
      <c r="B12" s="178"/>
      <c r="C12" s="183"/>
      <c r="D12" s="184"/>
      <c r="E12" s="179"/>
      <c r="F12" s="180"/>
      <c r="G12" s="180"/>
      <c r="H12" s="180"/>
      <c r="I12" s="181"/>
      <c r="J12" s="187"/>
      <c r="K12" s="188"/>
      <c r="L12" s="189"/>
      <c r="M12" s="192"/>
      <c r="N12" s="193"/>
      <c r="O12" s="193"/>
      <c r="P12" s="193"/>
      <c r="Q12" s="182" t="str">
        <f>IF(AND(C12&lt;&gt;"",J12&lt;&gt;""),AE22,"")</f>
        <v/>
      </c>
      <c r="R12" s="182"/>
      <c r="S12" s="92" t="s">
        <v>42</v>
      </c>
      <c r="Y12" s="112">
        <f>COUNTIF(J8:L14,"営業")+COUNTIF(J8:L14,"その他")</f>
        <v>0</v>
      </c>
      <c r="Z12" s="42" t="s">
        <v>62</v>
      </c>
      <c r="AE12" s="1"/>
      <c r="AF12" s="40">
        <f>ROUNDUP(AF11,-2)</f>
        <v>0</v>
      </c>
      <c r="AG12" s="86" t="s">
        <v>48</v>
      </c>
      <c r="AI12" s="84" t="s">
        <v>83</v>
      </c>
      <c r="AJ12" s="98" t="s">
        <v>78</v>
      </c>
    </row>
    <row r="13" spans="1:36" ht="19.5" thickBot="1" x14ac:dyDescent="0.2">
      <c r="A13" s="177" t="s">
        <v>6</v>
      </c>
      <c r="B13" s="178"/>
      <c r="C13" s="183"/>
      <c r="D13" s="184"/>
      <c r="E13" s="179"/>
      <c r="F13" s="180"/>
      <c r="G13" s="180"/>
      <c r="H13" s="180"/>
      <c r="I13" s="181"/>
      <c r="J13" s="187"/>
      <c r="K13" s="188"/>
      <c r="L13" s="189"/>
      <c r="M13" s="140"/>
      <c r="N13" s="141"/>
      <c r="O13" s="141"/>
      <c r="P13" s="141"/>
      <c r="Q13" s="182" t="str">
        <f>IF(AND(C13&lt;&gt;"",J13&lt;&gt;""),AF22,"")</f>
        <v/>
      </c>
      <c r="R13" s="182"/>
      <c r="S13" s="92" t="s">
        <v>42</v>
      </c>
      <c r="V13" s="100" t="s">
        <v>28</v>
      </c>
      <c r="W13" s="63" t="s">
        <v>19</v>
      </c>
      <c r="X13" s="63" t="s">
        <v>20</v>
      </c>
      <c r="Y13" s="63" t="s">
        <v>24</v>
      </c>
      <c r="Z13" s="80" t="s">
        <v>101</v>
      </c>
      <c r="AA13" s="145" t="s">
        <v>26</v>
      </c>
      <c r="AC13" s="31" t="s">
        <v>32</v>
      </c>
      <c r="AD13" s="4">
        <f>IF(M8="加入している",COUNTA(C8:C14),COUNTA(C9:C14))</f>
        <v>0</v>
      </c>
      <c r="AE13" s="229" t="s">
        <v>103</v>
      </c>
      <c r="AF13" s="229"/>
      <c r="AG13" s="4">
        <f>MAX(COUNTIF(AH4:AH10,"〇")-1,0)</f>
        <v>0</v>
      </c>
      <c r="AH13" s="1"/>
      <c r="AI13" s="83" t="s">
        <v>47</v>
      </c>
      <c r="AJ13" s="98" t="s">
        <v>79</v>
      </c>
    </row>
    <row r="14" spans="1:36" ht="19.5" thickBot="1" x14ac:dyDescent="0.2">
      <c r="A14" s="175" t="s">
        <v>7</v>
      </c>
      <c r="B14" s="176"/>
      <c r="C14" s="185"/>
      <c r="D14" s="186"/>
      <c r="E14" s="230"/>
      <c r="F14" s="231"/>
      <c r="G14" s="231"/>
      <c r="H14" s="231"/>
      <c r="I14" s="232"/>
      <c r="J14" s="214"/>
      <c r="K14" s="215"/>
      <c r="L14" s="216"/>
      <c r="O14" s="37"/>
      <c r="P14" s="22"/>
      <c r="Q14" s="182" t="str">
        <f>IF(AND(C14&lt;&gt;"",J14&lt;&gt;""),AG22,"")</f>
        <v/>
      </c>
      <c r="R14" s="182"/>
      <c r="S14" s="92" t="s">
        <v>42</v>
      </c>
      <c r="V14" s="64" t="s">
        <v>21</v>
      </c>
      <c r="W14" s="137">
        <v>8.69</v>
      </c>
      <c r="X14" s="137">
        <v>49100</v>
      </c>
      <c r="Y14" s="137">
        <v>650000</v>
      </c>
      <c r="Z14" s="144">
        <f>IF(Z11&lt;AA11,Y14,AA11)</f>
        <v>0</v>
      </c>
      <c r="AA14" s="5" t="s">
        <v>36</v>
      </c>
      <c r="AB14" s="67">
        <f ca="1">SUM(AG4:AG10)</f>
        <v>0</v>
      </c>
      <c r="AC14" s="30" t="s">
        <v>37</v>
      </c>
      <c r="AD14" s="32" t="s">
        <v>38</v>
      </c>
      <c r="AE14" s="205" t="s">
        <v>39</v>
      </c>
      <c r="AF14" s="206"/>
      <c r="AG14" s="58" t="s">
        <v>40</v>
      </c>
      <c r="AI14" s="83" t="s">
        <v>100</v>
      </c>
      <c r="AJ14" s="98"/>
    </row>
    <row r="15" spans="1:36" ht="20.25" thickTop="1" thickBot="1" x14ac:dyDescent="0.45">
      <c r="C15" s="41" t="s">
        <v>97</v>
      </c>
      <c r="D15" s="9"/>
      <c r="E15" s="25"/>
      <c r="F15" s="26"/>
      <c r="G15" s="9"/>
      <c r="H15" s="133" t="str">
        <f>IF(Y12&gt;=1,"↑営業やその他の収入がある方は、所得(収入から必要経費を引いた額)を入力してください","")</f>
        <v/>
      </c>
      <c r="I15" s="9"/>
      <c r="J15" s="9"/>
      <c r="K15" s="9"/>
      <c r="L15" s="9"/>
      <c r="M15" s="9"/>
      <c r="N15" s="9"/>
      <c r="O15" s="9"/>
      <c r="P15" s="25"/>
      <c r="Q15" s="9"/>
      <c r="V15" s="65" t="s">
        <v>22</v>
      </c>
      <c r="W15" s="138">
        <v>2.8</v>
      </c>
      <c r="X15" s="138">
        <v>16500</v>
      </c>
      <c r="Y15" s="138">
        <v>240000</v>
      </c>
      <c r="Z15" s="144">
        <f>IF(AB11&lt;AC11,Y15,AC11)</f>
        <v>0</v>
      </c>
      <c r="AA15" s="27" t="s">
        <v>33</v>
      </c>
      <c r="AB15" s="143">
        <f>430000+100000*AG13</f>
        <v>430000</v>
      </c>
      <c r="AC15" s="16" t="str">
        <f ca="1">IF(AND(AB15&gt;=AB14,M8 &lt;&gt; ""),"適用","")</f>
        <v/>
      </c>
      <c r="AD15" s="148" t="str">
        <f ca="1">IF(AC15="適用",LEFT(AA15,1),IF(AC16="適用",LEFT(AA16,1),IF(AC17="適用",LEFT(AA17,1),"")))</f>
        <v/>
      </c>
      <c r="AE15" s="160">
        <f ca="1">ROUNDUP(AF11-IF(AD15="7",AG15*0.7,IF(AD15="5",AG15*0.5,IF(AD15="2",AG15*0.2))),-2)</f>
        <v>0</v>
      </c>
      <c r="AF15" s="161"/>
      <c r="AG15" s="36">
        <f>SUM(AA4:AA10)+SUM(AC4:AC10)+SUM(AE4:AE10)</f>
        <v>0</v>
      </c>
      <c r="AJ15" s="98"/>
    </row>
    <row r="16" spans="1:36" ht="20.25" thickBot="1" x14ac:dyDescent="0.45">
      <c r="C16" s="24"/>
      <c r="D16" s="152" t="str">
        <f>IF(AND(J8 &lt;&gt; "",M8 &lt;&gt; "",D17= ""),"↓加入月を選択してください","")</f>
        <v/>
      </c>
      <c r="E16" s="25"/>
      <c r="F16" s="26"/>
      <c r="G16" s="9"/>
      <c r="H16" s="9"/>
      <c r="I16" s="9"/>
      <c r="J16" s="9"/>
      <c r="K16" s="9"/>
      <c r="L16" s="9"/>
      <c r="M16" s="9"/>
      <c r="V16" s="66" t="s">
        <v>23</v>
      </c>
      <c r="W16" s="139">
        <v>2.2799999999999998</v>
      </c>
      <c r="X16" s="139">
        <v>16500</v>
      </c>
      <c r="Y16" s="139">
        <v>170000</v>
      </c>
      <c r="Z16" s="144">
        <f>IF(AD11&lt;AE11,Y16,AE11)</f>
        <v>0</v>
      </c>
      <c r="AA16" s="27" t="s">
        <v>34</v>
      </c>
      <c r="AB16" s="143">
        <f>430000+290000*AD13+100000*AG13</f>
        <v>430000</v>
      </c>
      <c r="AC16" s="16" t="str">
        <f ca="1">IF(AND(AB16&gt;=AB14,M8 &lt;&gt; ""),"適用","")</f>
        <v/>
      </c>
      <c r="AD16" s="28"/>
      <c r="AJ16" s="98"/>
    </row>
    <row r="17" spans="1:36" ht="25.5" customHeight="1" thickTop="1" thickBot="1" x14ac:dyDescent="0.45">
      <c r="A17" s="97" t="s">
        <v>84</v>
      </c>
      <c r="B17" s="87"/>
      <c r="C17" s="87"/>
      <c r="D17" s="212"/>
      <c r="E17" s="213"/>
      <c r="F17" s="102" t="s">
        <v>55</v>
      </c>
      <c r="G17" s="103"/>
      <c r="H17" s="3" t="s">
        <v>99</v>
      </c>
      <c r="I17" s="88"/>
      <c r="J17" s="88"/>
      <c r="K17" s="88"/>
      <c r="L17" s="88"/>
      <c r="M17" s="88"/>
      <c r="N17" s="132"/>
      <c r="Y17" s="122" t="str">
        <f>IF(OR(Z11&lt;&gt;AA11,AB11&lt;&gt;AC11,AD11&lt;&gt;AE11),"限度額有り","")</f>
        <v/>
      </c>
      <c r="Z17" s="151" t="str">
        <f>IF(SUM(Z14:Z16)&gt;0,SUM(Z14:Z16),"")</f>
        <v/>
      </c>
      <c r="AA17" s="27" t="s">
        <v>35</v>
      </c>
      <c r="AB17" s="143">
        <f>430000+535000*AD13+100000*AG13</f>
        <v>430000</v>
      </c>
      <c r="AC17" s="20" t="str">
        <f ca="1">IF(AND(AB17&gt;=AB14,M8 &lt;&gt; ""),"適用","")</f>
        <v/>
      </c>
      <c r="AD17" s="29"/>
      <c r="AJ17" s="99"/>
    </row>
    <row r="18" spans="1:36" ht="15.75" customHeight="1" thickTop="1" x14ac:dyDescent="0.4">
      <c r="A18" s="96"/>
      <c r="E18" s="9"/>
      <c r="F18" s="9"/>
      <c r="G18" s="46"/>
      <c r="H18" s="107" t="s">
        <v>105</v>
      </c>
      <c r="I18" s="45"/>
      <c r="J18" s="45"/>
      <c r="K18" s="45"/>
      <c r="L18" s="45"/>
      <c r="M18" s="45"/>
      <c r="N18" s="45"/>
      <c r="O18" s="45"/>
      <c r="P18" s="45"/>
      <c r="Q18" s="45"/>
      <c r="R18" s="45"/>
      <c r="S18" s="93"/>
      <c r="AA18" s="4"/>
      <c r="AB18" s="149" t="s">
        <v>104</v>
      </c>
    </row>
    <row r="19" spans="1:36" ht="15.75" customHeight="1" x14ac:dyDescent="0.4">
      <c r="B19" s="96"/>
      <c r="G19" s="46"/>
      <c r="H19" s="70" t="s">
        <v>59</v>
      </c>
      <c r="I19" s="71"/>
      <c r="J19" s="71"/>
      <c r="K19" s="71"/>
      <c r="L19" s="71"/>
      <c r="M19" s="71"/>
      <c r="N19" s="71"/>
      <c r="O19" s="71"/>
      <c r="P19" s="71"/>
      <c r="Q19" s="71"/>
      <c r="R19" s="71"/>
      <c r="S19" s="94"/>
      <c r="AA19" s="8" t="s">
        <v>107</v>
      </c>
      <c r="AD19" s="150"/>
    </row>
    <row r="20" spans="1:36" ht="15.75" customHeight="1" x14ac:dyDescent="0.4">
      <c r="G20" s="38"/>
      <c r="H20" s="72" t="s">
        <v>61</v>
      </c>
      <c r="I20" s="71"/>
      <c r="J20" s="71"/>
      <c r="K20" s="71"/>
      <c r="L20" s="71"/>
      <c r="M20" s="71"/>
      <c r="N20" s="71"/>
      <c r="O20" s="71"/>
      <c r="P20" s="71"/>
      <c r="Q20" s="71"/>
      <c r="R20" s="71"/>
      <c r="S20" s="94"/>
      <c r="AA20" s="13" t="s">
        <v>1</v>
      </c>
      <c r="AB20" s="14" t="s">
        <v>2</v>
      </c>
      <c r="AC20" s="14" t="s">
        <v>3</v>
      </c>
      <c r="AD20" s="12" t="s">
        <v>5</v>
      </c>
      <c r="AE20" s="14" t="s">
        <v>4</v>
      </c>
      <c r="AF20" s="14" t="s">
        <v>6</v>
      </c>
      <c r="AG20" s="13" t="s">
        <v>7</v>
      </c>
      <c r="AH20" s="146" t="s">
        <v>102</v>
      </c>
      <c r="AI20" s="4"/>
    </row>
    <row r="21" spans="1:36" ht="15.75" customHeight="1" x14ac:dyDescent="0.4">
      <c r="H21" s="70" t="s">
        <v>93</v>
      </c>
      <c r="I21" s="70"/>
      <c r="J21" s="71"/>
      <c r="K21" s="71"/>
      <c r="L21" s="71"/>
      <c r="M21" s="71"/>
      <c r="N21" s="71"/>
      <c r="O21" s="71"/>
      <c r="P21" s="71"/>
      <c r="Q21" s="71"/>
      <c r="R21" s="71"/>
      <c r="S21" s="94"/>
      <c r="Z21" s="14" t="s">
        <v>80</v>
      </c>
      <c r="AA21" s="101">
        <f ca="1">IF($AD$15="",AF4,$AF4-IF($AD$15&lt;&gt;"",SUM($AA4,$AC4,$AE4)*$AD$15/10,""))</f>
        <v>0</v>
      </c>
      <c r="AB21" s="101">
        <f ca="1">IF($AD$15="",AF5,$AF5-IF($AD$15&lt;&gt;"",SUM($AA5,$AC5,$AE5)*$AD$15/10,""))</f>
        <v>0</v>
      </c>
      <c r="AC21" s="101">
        <f ca="1">IF($AD$15="",AF6,$AF6-IF($AD$15&lt;&gt;"",SUM($AA6,$AC6,$AE6)*$AD$15/10,""))</f>
        <v>0</v>
      </c>
      <c r="AD21" s="101">
        <f ca="1">IF($AD$15="",AF7,$AF7-IF($AD$15&lt;&gt;"",SUM($AA7,$AC7,$AE7)*$AD$15/10,""))</f>
        <v>0</v>
      </c>
      <c r="AE21" s="101">
        <f ca="1">IF($AD$15="",AF8,$AF8-IF($AD$15&lt;&gt;"",SUM($AA8,$AC8,$AE8)*$AD$15/10,""))</f>
        <v>0</v>
      </c>
      <c r="AF21" s="101">
        <f ca="1">IF($AD$15="",AF9,$AF9-IF($AD$15&lt;&gt;"",SUM($AA9,$AC9,$AE9)*$AD$15/10,""))</f>
        <v>0</v>
      </c>
      <c r="AG21" s="101">
        <f ca="1">IF($AD$15="",AF10,$AF10-IF($AD$15&lt;&gt;"",SUM($AA10,$AC10,$AE10)*$AD$15/10,""))</f>
        <v>0</v>
      </c>
      <c r="AH21" s="147">
        <f>LEN(D17)-1</f>
        <v>-1</v>
      </c>
    </row>
    <row r="22" spans="1:36" ht="15.75" customHeight="1" x14ac:dyDescent="0.4">
      <c r="H22" s="70" t="s">
        <v>60</v>
      </c>
      <c r="I22" s="70"/>
      <c r="J22" s="71"/>
      <c r="K22" s="71"/>
      <c r="L22" s="71"/>
      <c r="M22" s="71"/>
      <c r="N22" s="71"/>
      <c r="O22" s="71"/>
      <c r="P22" s="71"/>
      <c r="Q22" s="71"/>
      <c r="R22" s="71"/>
      <c r="S22" s="94"/>
      <c r="V22"/>
      <c r="Z22" s="14" t="s">
        <v>81</v>
      </c>
      <c r="AA22" s="10" t="str">
        <f>IF($D$17 &lt;&gt; "",ROUNDUP(IF($D$17="１月",AA21/4,IF($D$17="２月",AA21/6,IF($D$17="３月",AA21/12,(AA21/12*(12-(LEFT($D$17, LEN($D$17) - 1)-4)))))),-1),"")</f>
        <v/>
      </c>
      <c r="AB22" s="10" t="str">
        <f>IF($D$17 &lt;&gt; "",ROUNDUP(IF($D$17="１月",AB21/4,IF($D$17="２月",AB21/6,IF($D$17="３月",AB21/12,(AB21/12*(12-(LEFT($D$17, LEN($D$17) - 1)-4)))))),-1),"")</f>
        <v/>
      </c>
      <c r="AC22" s="10" t="str">
        <f t="shared" ref="AC22:AG22" si="12">IF($D$17 &lt;&gt; "",ROUNDUP(IF($D$17="１月",AC21/4,IF($D$17="２月",AC21/6,IF($D$17="３月",AC21/12,(AC21/12*(12-(LEFT($D$17, LEN($D$17) - 1)-4)))))),-1),"")</f>
        <v/>
      </c>
      <c r="AD22" s="10" t="str">
        <f t="shared" si="12"/>
        <v/>
      </c>
      <c r="AE22" s="10" t="str">
        <f t="shared" si="12"/>
        <v/>
      </c>
      <c r="AF22" s="10" t="str">
        <f t="shared" si="12"/>
        <v/>
      </c>
      <c r="AG22" s="10" t="str">
        <f t="shared" si="12"/>
        <v/>
      </c>
      <c r="AH22" s="10" t="str">
        <f>IF(AH2&lt;&gt;"",LEFT(D17,AH21),"")</f>
        <v/>
      </c>
    </row>
    <row r="23" spans="1:36" ht="15.75" customHeight="1" x14ac:dyDescent="0.4">
      <c r="H23" s="70" t="s">
        <v>53</v>
      </c>
      <c r="I23" s="70"/>
      <c r="J23" s="71"/>
      <c r="K23" s="71"/>
      <c r="L23" s="71"/>
      <c r="M23" s="71"/>
      <c r="N23" s="71"/>
      <c r="O23" s="71"/>
      <c r="P23" s="71"/>
      <c r="Q23" s="71"/>
      <c r="R23" s="71"/>
      <c r="S23" s="94"/>
      <c r="V23"/>
      <c r="AE23"/>
    </row>
    <row r="24" spans="1:36" ht="15.75" customHeight="1" x14ac:dyDescent="0.4">
      <c r="H24" s="70" t="s">
        <v>49</v>
      </c>
      <c r="I24" s="70"/>
      <c r="J24" s="71"/>
      <c r="K24" s="71"/>
      <c r="L24" s="71"/>
      <c r="M24" s="71"/>
      <c r="N24" s="71"/>
      <c r="O24" s="71"/>
      <c r="P24" s="71"/>
      <c r="Q24" s="71"/>
      <c r="R24" s="71"/>
      <c r="S24" s="94"/>
      <c r="V24" s="159" t="s">
        <v>64</v>
      </c>
      <c r="W24" s="159"/>
      <c r="X24" s="159"/>
      <c r="Y24" s="159"/>
      <c r="Z24" s="159"/>
      <c r="AB24" s="155" t="s">
        <v>65</v>
      </c>
      <c r="AC24" s="155"/>
      <c r="AD24" s="156"/>
      <c r="AE24" s="155" t="s">
        <v>87</v>
      </c>
      <c r="AF24" s="155"/>
      <c r="AG24" s="156"/>
      <c r="AH24" s="163" t="s">
        <v>88</v>
      </c>
      <c r="AI24" s="164"/>
      <c r="AJ24" s="164"/>
    </row>
    <row r="25" spans="1:36" ht="15.75" customHeight="1" x14ac:dyDescent="0.4">
      <c r="H25" s="70" t="s">
        <v>50</v>
      </c>
      <c r="I25" s="70"/>
      <c r="J25" s="71"/>
      <c r="K25" s="71"/>
      <c r="L25" s="71"/>
      <c r="M25" s="71"/>
      <c r="N25" s="71"/>
      <c r="O25" s="71"/>
      <c r="P25" s="71"/>
      <c r="Q25" s="71"/>
      <c r="R25" s="71"/>
      <c r="S25" s="94"/>
      <c r="V25" s="123"/>
      <c r="W25" s="116" t="s">
        <v>45</v>
      </c>
      <c r="X25" s="110" t="s">
        <v>85</v>
      </c>
      <c r="Y25" s="63" t="s">
        <v>86</v>
      </c>
      <c r="Z25" s="63" t="s">
        <v>92</v>
      </c>
      <c r="AB25" s="111">
        <v>550999</v>
      </c>
      <c r="AC25" s="157">
        <v>0</v>
      </c>
      <c r="AD25" s="158"/>
      <c r="AE25" s="119">
        <v>400000</v>
      </c>
      <c r="AF25" s="165">
        <v>0</v>
      </c>
      <c r="AG25" s="166"/>
      <c r="AH25" s="117">
        <v>900000</v>
      </c>
      <c r="AI25" s="165">
        <v>0</v>
      </c>
      <c r="AJ25" s="172"/>
    </row>
    <row r="26" spans="1:36" ht="15.75" customHeight="1" x14ac:dyDescent="0.4">
      <c r="H26" s="70" t="s">
        <v>51</v>
      </c>
      <c r="I26" s="70"/>
      <c r="J26" s="71"/>
      <c r="K26" s="71"/>
      <c r="L26" s="71"/>
      <c r="M26" s="71"/>
      <c r="N26" s="71"/>
      <c r="O26" s="71"/>
      <c r="P26" s="71"/>
      <c r="Q26" s="71"/>
      <c r="R26" s="71"/>
      <c r="S26" s="94"/>
      <c r="V26" s="124" t="s">
        <v>1</v>
      </c>
      <c r="W26" s="126" t="str">
        <f t="shared" ref="W26:W32" si="13">IF(J8="給与",IF(E8&lt;=$AB$25,$AC$25,IF(AND(E8&gt;=$AB$26,E8&lt;=$AC$26),E8+$AD$26,IF(AND(E8&gt;=$AB$27,E8&lt;=$AC$27),$AD$27,IF(AND(E8&gt;=$AB$28,E8&lt;=$AC$28),$AD$28,IF(AND(E8&gt;=$AB$29,E8&lt;=$AC$29),$AD$29,IF(AND(E8&gt;=$AB$30,E8&lt;=$AC$30),$AD$30,IF(AND(E8&lt;=$AB$31,E8&gt;$AC$30),E8*$AC$31+$AD$31,IF(AND(E8&lt;=$AB$32,E8&gt;$AB$31),E8*$AC$32+$AD$32,IF(AND(E8&lt;=$AB$33,E8&gt;$AB$32),E8*$AC$33+$AD$33,IF(AND(E8&lt;=$AB$34,E8&gt;$AB$33),E8*$AC$34+$AD$34,IF(E8&gt;=$AB$35,E8+$AD$35,"0"))))))))))),"")</f>
        <v/>
      </c>
      <c r="X26" s="125" t="str">
        <f>IF(AND(J8="年金",C8="40歳～64歳"),IF(E8&lt;$AE$27,$AF$25,IF(AND(E8&gt;=$AE$27,E8&lt;=$AE$28),E8+$AF$28,IF(AND(E8&gt;$AE$28,E8&lt;=$AE$29),E8*$AF$29+$AG$29,IF(AND(E8&gt;$AE$29,E8&lt;=$AE$30),E8*$AF$30+$AG$30,IF(AND(E8&gt;$AE$30,E8&lt;=$AE31),E8*$AF$31+AG31,IF(E8&gt;=$AE$32,E8+AF32,"")))))),"")</f>
        <v/>
      </c>
      <c r="Y26" s="126" t="str">
        <f>IF(AND(J8="年金",C8="65歳以上"),IF(E8&lt;$AH$27,$AI$25,IF(AND(E8&gt;=$AH$27,E8&lt;=$AH$28),E8+$AI$28,IF(AND(E8&gt;$AH$28,E8&lt;=$AH$29),E8*$AI$29+$AJ$29,IF(AND(E8&gt;$AH$29,E8&lt;=$AH$30),E8*$AI$30+$AJ$30,IF(AND(E8&gt;$AH$30,E8&lt;=$AH31),E8*$AI$31+AJ31,IF(E8&lt;=$AH$32,E8+AI32,"")))))),"")</f>
        <v/>
      </c>
      <c r="Z26" s="126">
        <f>IF(W26 &lt;&gt; "",W26,IF(X26&lt;&gt;"",X26,IF(Y26&lt;&gt;"",Y26,IF(J8="収入なし","0",E8))))</f>
        <v>0</v>
      </c>
      <c r="AB26" s="111">
        <v>551000</v>
      </c>
      <c r="AC26" s="111">
        <v>1618999</v>
      </c>
      <c r="AD26" s="121">
        <v>-550000</v>
      </c>
      <c r="AE26" s="119">
        <v>500000</v>
      </c>
      <c r="AF26" s="167"/>
      <c r="AG26" s="168"/>
      <c r="AH26" s="117">
        <v>1000000</v>
      </c>
      <c r="AI26" s="167"/>
      <c r="AJ26" s="173"/>
    </row>
    <row r="27" spans="1:36" ht="15.75" customHeight="1" x14ac:dyDescent="0.4">
      <c r="H27" s="70" t="s">
        <v>52</v>
      </c>
      <c r="I27" s="70"/>
      <c r="J27" s="71"/>
      <c r="K27" s="71"/>
      <c r="L27" s="71"/>
      <c r="M27" s="71"/>
      <c r="N27" s="71"/>
      <c r="O27" s="71"/>
      <c r="P27" s="71"/>
      <c r="Q27" s="71"/>
      <c r="R27" s="71"/>
      <c r="S27" s="94"/>
      <c r="V27" s="124" t="s">
        <v>2</v>
      </c>
      <c r="W27" s="16" t="str">
        <f t="shared" si="13"/>
        <v/>
      </c>
      <c r="X27" s="17" t="str">
        <f>IF(AND(J9="年金",C9="40歳～64歳"),IF(E9&lt;$AE$27,$AF$25,IF(AND(E9&gt;=$AE$27,E9&lt;=$AE$28),E9+$AF$28,IF(AND(E9&gt;$AE$28,E9&lt;=$AE$29),E9*$AF$29+$AG$29,IF(AND(E9&gt;$AE$29,E9&lt;=$AE$30),E9*$AF$30+$AG$30,IF(AND(E9&gt;$AE$30,E9&lt;=$AE32),E9*$AF$31+AG32,IF(E9&gt;=$AE$32,E9+AF33,"")))))),"")</f>
        <v/>
      </c>
      <c r="Y27" s="16" t="str">
        <f t="shared" ref="Y27:Y33" si="14">IF(AND(J9="年金",C9="65歳以上"),IF(E9&lt;$AH$27,$AI$25,IF(AND(E9&gt;=$AH$27,E9&lt;=$AH$28),E9+$AI$28,IF(AND(E9&gt;$AH$28,E9&lt;=$AH$29),E9*$AI$29+$AJ$29,IF(AND(E9&gt;$AH$29,E9&lt;=$AH$30),E9*$AI$30+$AJ$30,IF(AND(E9&gt;$AH$30,E9&lt;=$AH32),E9*$AI$31+AJ32,IF(E9&lt;=$AH$32,E9+AI33,"")))))),"")</f>
        <v/>
      </c>
      <c r="Z27" s="16">
        <f t="shared" ref="Z27:Z32" si="15">IF(W27 &lt;&gt; "",W27,IF(X27&lt;&gt;"",X27,IF(Y27&lt;&gt;"",Y27,IF(J9="収入なし","0",E9))))</f>
        <v>0</v>
      </c>
      <c r="AB27" s="111">
        <v>1619000</v>
      </c>
      <c r="AC27" s="111">
        <v>1619999</v>
      </c>
      <c r="AD27" s="121">
        <v>1069000</v>
      </c>
      <c r="AE27" s="119">
        <v>600000</v>
      </c>
      <c r="AF27" s="169"/>
      <c r="AG27" s="170"/>
      <c r="AH27" s="117">
        <v>1100000</v>
      </c>
      <c r="AI27" s="169"/>
      <c r="AJ27" s="174"/>
    </row>
    <row r="28" spans="1:36" ht="15.75" customHeight="1" x14ac:dyDescent="0.4">
      <c r="H28" s="70" t="s">
        <v>110</v>
      </c>
      <c r="I28" s="70"/>
      <c r="J28" s="71"/>
      <c r="K28" s="71"/>
      <c r="L28" s="71"/>
      <c r="M28" s="71"/>
      <c r="N28" s="71"/>
      <c r="O28" s="71"/>
      <c r="P28" s="71"/>
      <c r="Q28" s="71"/>
      <c r="R28" s="71"/>
      <c r="S28" s="94"/>
      <c r="V28" s="124" t="s">
        <v>3</v>
      </c>
      <c r="W28" s="16" t="str">
        <f t="shared" si="13"/>
        <v/>
      </c>
      <c r="X28" s="17" t="str">
        <f>IF(AND(J10="年金",C10="40歳～64歳"),IF(E10&lt;$AE$27,$AF$25,IF(AND(E10&gt;=$AE$27,E10&lt;=$AE$28),E10+$AF$28,IF(AND(E10&gt;$AE$28,E10&lt;=$AE$29),E10*$AF$29+$AG$29,IF(AND(E10&gt;$AE$29,E10&lt;=$AE$30),E10*$AF$30+$AG$30,IF(AND(E10&gt;$AE$30,E10&lt;=$AE33),E10*$AF$31+AG33,IF(E10&gt;=$AE$32,E10+AF34,"")))))),"")</f>
        <v/>
      </c>
      <c r="Y28" s="16" t="str">
        <f t="shared" si="14"/>
        <v/>
      </c>
      <c r="Z28" s="16">
        <f t="shared" si="15"/>
        <v>0</v>
      </c>
      <c r="AB28" s="111">
        <v>1620000</v>
      </c>
      <c r="AC28" s="111">
        <v>1621999</v>
      </c>
      <c r="AD28" s="121">
        <v>1070000</v>
      </c>
      <c r="AE28" s="119">
        <v>1299999</v>
      </c>
      <c r="AF28" s="157">
        <v>-600000</v>
      </c>
      <c r="AG28" s="158"/>
      <c r="AH28" s="117">
        <v>3299999</v>
      </c>
      <c r="AI28" s="157">
        <v>-1100000</v>
      </c>
      <c r="AJ28" s="171"/>
    </row>
    <row r="29" spans="1:36" ht="15.75" customHeight="1" x14ac:dyDescent="0.4">
      <c r="H29" s="70" t="s">
        <v>112</v>
      </c>
      <c r="I29" s="70"/>
      <c r="J29" s="71"/>
      <c r="K29" s="71"/>
      <c r="L29" s="71"/>
      <c r="M29" s="71"/>
      <c r="N29" s="71"/>
      <c r="O29" s="71"/>
      <c r="P29" s="71"/>
      <c r="Q29" s="71"/>
      <c r="R29" s="71"/>
      <c r="S29" s="94"/>
      <c r="V29" s="124" t="s">
        <v>5</v>
      </c>
      <c r="W29" s="16" t="str">
        <f t="shared" si="13"/>
        <v/>
      </c>
      <c r="X29" s="17" t="str">
        <f t="shared" ref="X29:X33" si="16">IF(AND(J11="年金",C11="40歳～64歳"),IF(E11&lt;$AE$27,$AF$25,IF(AND(E11&gt;=$AE$27,E11&lt;=$AE$28),E11+$AF$28,IF(AND(E11&gt;$AE$28,E11&lt;=$AE$29),E11*$AF$29+$AG$29,IF(AND(E11&gt;$AE$29,E11&lt;=$AE$30),E11*$AF$30+$AG$30,IF(AND(E11&gt;$AE$30,E11&lt;=$AE34),E11*$AF$31+AG34,IF(E11&gt;=$AE$32,E11+AF35,"")))))),"")</f>
        <v/>
      </c>
      <c r="Y29" s="16" t="str">
        <f t="shared" si="14"/>
        <v/>
      </c>
      <c r="Z29" s="16">
        <f t="shared" si="15"/>
        <v>0</v>
      </c>
      <c r="AB29" s="111">
        <v>1622000</v>
      </c>
      <c r="AC29" s="111">
        <v>1623999</v>
      </c>
      <c r="AD29" s="121">
        <v>1072000</v>
      </c>
      <c r="AE29" s="119">
        <v>4099999</v>
      </c>
      <c r="AF29" s="111">
        <v>0.75</v>
      </c>
      <c r="AG29" s="121">
        <v>-275000</v>
      </c>
      <c r="AH29" s="117">
        <v>4099999</v>
      </c>
      <c r="AI29" s="111">
        <v>0.75</v>
      </c>
      <c r="AJ29" s="111">
        <v>-275000</v>
      </c>
    </row>
    <row r="30" spans="1:36" ht="15.75" customHeight="1" x14ac:dyDescent="0.4">
      <c r="H30" s="70" t="s">
        <v>108</v>
      </c>
      <c r="I30" s="70"/>
      <c r="J30" s="71"/>
      <c r="K30" s="71"/>
      <c r="L30" s="71"/>
      <c r="M30" s="71"/>
      <c r="N30" s="71"/>
      <c r="O30" s="71"/>
      <c r="P30" s="71"/>
      <c r="Q30" s="71"/>
      <c r="R30" s="71"/>
      <c r="S30" s="94"/>
      <c r="V30" s="124" t="s">
        <v>4</v>
      </c>
      <c r="W30" s="16" t="str">
        <f t="shared" si="13"/>
        <v/>
      </c>
      <c r="X30" s="17" t="str">
        <f t="shared" si="16"/>
        <v/>
      </c>
      <c r="Y30" s="16" t="str">
        <f t="shared" si="14"/>
        <v/>
      </c>
      <c r="Z30" s="16">
        <f t="shared" si="15"/>
        <v>0</v>
      </c>
      <c r="AA30" s="1"/>
      <c r="AB30" s="111">
        <v>1624000</v>
      </c>
      <c r="AC30" s="111">
        <v>1627999</v>
      </c>
      <c r="AD30" s="121">
        <v>1074000</v>
      </c>
      <c r="AE30" s="119">
        <v>7699999</v>
      </c>
      <c r="AF30" s="111">
        <v>0.85</v>
      </c>
      <c r="AG30" s="121">
        <v>-685000</v>
      </c>
      <c r="AH30" s="117">
        <v>7699999</v>
      </c>
      <c r="AI30" s="111">
        <v>0.85</v>
      </c>
      <c r="AJ30" s="111">
        <v>-685000</v>
      </c>
    </row>
    <row r="31" spans="1:36" ht="15" customHeight="1" x14ac:dyDescent="0.4">
      <c r="H31" s="70" t="s">
        <v>109</v>
      </c>
      <c r="I31" s="70"/>
      <c r="J31" s="71"/>
      <c r="K31" s="71"/>
      <c r="L31" s="71"/>
      <c r="M31" s="71"/>
      <c r="N31" s="71"/>
      <c r="O31" s="71"/>
      <c r="P31" s="71"/>
      <c r="Q31" s="71"/>
      <c r="R31" s="71"/>
      <c r="S31" s="94"/>
      <c r="V31" s="124" t="s">
        <v>6</v>
      </c>
      <c r="W31" s="16" t="str">
        <f t="shared" si="13"/>
        <v/>
      </c>
      <c r="X31" s="17" t="str">
        <f t="shared" si="16"/>
        <v/>
      </c>
      <c r="Y31" s="16" t="str">
        <f t="shared" si="14"/>
        <v/>
      </c>
      <c r="Z31" s="16">
        <f t="shared" si="15"/>
        <v>0</v>
      </c>
      <c r="AB31" s="111">
        <v>1799999</v>
      </c>
      <c r="AC31" s="111">
        <v>0.6</v>
      </c>
      <c r="AD31" s="121">
        <v>100000</v>
      </c>
      <c r="AE31" s="119">
        <v>9999999</v>
      </c>
      <c r="AF31" s="111">
        <v>0.95</v>
      </c>
      <c r="AG31" s="121">
        <v>-1455000</v>
      </c>
      <c r="AH31" s="117">
        <v>9999999</v>
      </c>
      <c r="AI31" s="111">
        <v>0.95</v>
      </c>
      <c r="AJ31" s="111">
        <v>-1455000</v>
      </c>
    </row>
    <row r="32" spans="1:36" ht="15" customHeight="1" x14ac:dyDescent="0.4">
      <c r="H32" s="70" t="s">
        <v>113</v>
      </c>
      <c r="I32" s="71"/>
      <c r="J32" s="71"/>
      <c r="K32" s="71"/>
      <c r="L32" s="71"/>
      <c r="M32" s="71"/>
      <c r="N32" s="71"/>
      <c r="O32" s="71"/>
      <c r="P32" s="71"/>
      <c r="Q32" s="71"/>
      <c r="R32" s="71"/>
      <c r="S32" s="94"/>
      <c r="V32" s="127" t="s">
        <v>7</v>
      </c>
      <c r="W32" s="20" t="str">
        <f t="shared" si="13"/>
        <v/>
      </c>
      <c r="X32" s="21" t="str">
        <f t="shared" si="16"/>
        <v/>
      </c>
      <c r="Y32" s="20" t="str">
        <f t="shared" si="14"/>
        <v/>
      </c>
      <c r="Z32" s="20">
        <f t="shared" si="15"/>
        <v>0</v>
      </c>
      <c r="AA32" s="1"/>
      <c r="AB32" s="111">
        <v>3599999</v>
      </c>
      <c r="AC32" s="111">
        <v>0.7</v>
      </c>
      <c r="AD32" s="121">
        <v>-80000</v>
      </c>
      <c r="AE32" s="119">
        <v>10000000</v>
      </c>
      <c r="AF32" s="157">
        <v>-1955000</v>
      </c>
      <c r="AG32" s="158"/>
      <c r="AH32" s="117">
        <v>10000000</v>
      </c>
      <c r="AI32" s="162">
        <v>-1955000</v>
      </c>
      <c r="AJ32" s="162"/>
    </row>
    <row r="33" spans="8:37" ht="15" customHeight="1" x14ac:dyDescent="0.4">
      <c r="H33" s="153"/>
      <c r="I33" s="22"/>
      <c r="J33" s="22"/>
      <c r="K33" s="22"/>
      <c r="L33" s="22"/>
      <c r="M33" s="22"/>
      <c r="N33" s="22"/>
      <c r="O33" s="22"/>
      <c r="P33" s="22"/>
      <c r="Q33" s="22"/>
      <c r="R33" s="22"/>
      <c r="S33" s="154"/>
      <c r="W33" s="9"/>
      <c r="X33" s="9" t="str">
        <f t="shared" si="16"/>
        <v/>
      </c>
      <c r="Y33" s="9" t="str">
        <f t="shared" si="14"/>
        <v/>
      </c>
      <c r="Z33" s="114" t="str">
        <f t="shared" ref="Z33" si="17">IF(W33 &lt;&gt; "",W33,IF(X33&lt;&gt;"",X33,IF(Y33&lt;&gt;"",Y33,"")))</f>
        <v/>
      </c>
      <c r="AA33" s="120"/>
      <c r="AB33" s="111">
        <v>6599999</v>
      </c>
      <c r="AC33" s="111">
        <v>0.8</v>
      </c>
      <c r="AD33" s="111">
        <v>-440000</v>
      </c>
      <c r="AE33" s="118"/>
      <c r="AJ33" s="122" t="s">
        <v>89</v>
      </c>
    </row>
    <row r="34" spans="8:37" ht="15" customHeight="1" x14ac:dyDescent="0.4">
      <c r="L34" s="113"/>
      <c r="M34" s="113"/>
      <c r="N34" s="113"/>
      <c r="O34" s="113"/>
      <c r="P34" s="113"/>
      <c r="Q34" s="113"/>
      <c r="R34" s="113"/>
      <c r="S34" s="113"/>
      <c r="T34" s="113"/>
      <c r="U34" s="113"/>
      <c r="V34" s="113"/>
      <c r="W34" s="113"/>
      <c r="X34" s="115"/>
      <c r="Y34" s="113"/>
      <c r="AB34" s="111">
        <v>8499999</v>
      </c>
      <c r="AC34" s="111">
        <v>0.9</v>
      </c>
      <c r="AD34" s="111">
        <v>-1100000</v>
      </c>
      <c r="AK34" s="56"/>
    </row>
    <row r="35" spans="8:37" ht="15" customHeight="1" x14ac:dyDescent="0.4">
      <c r="L35" s="113"/>
      <c r="M35" s="113"/>
      <c r="N35" s="113"/>
      <c r="O35" s="113"/>
      <c r="P35" s="113"/>
      <c r="Q35" s="113"/>
      <c r="R35" s="113"/>
      <c r="S35" s="113"/>
      <c r="T35" s="113"/>
      <c r="U35" s="113"/>
      <c r="V35" s="113"/>
      <c r="W35" s="115"/>
      <c r="X35" s="113"/>
      <c r="Y35" s="113"/>
      <c r="AB35" s="111">
        <v>8500000</v>
      </c>
      <c r="AC35" s="111"/>
      <c r="AD35" s="111">
        <v>-1950000</v>
      </c>
    </row>
    <row r="36" spans="8:37" ht="15" customHeight="1" x14ac:dyDescent="0.4">
      <c r="L36" s="113"/>
      <c r="M36" s="113"/>
      <c r="N36" s="113"/>
      <c r="O36" s="113"/>
      <c r="P36" s="113"/>
      <c r="Q36" s="113"/>
      <c r="R36" s="113"/>
      <c r="S36" s="113"/>
      <c r="T36" s="113"/>
      <c r="U36" s="113"/>
      <c r="V36" s="128"/>
      <c r="W36" s="113"/>
      <c r="X36" s="113"/>
      <c r="Y36" s="113"/>
      <c r="Z36" s="115"/>
      <c r="AA36" s="113"/>
      <c r="AB36" s="113"/>
      <c r="AC36" s="113"/>
      <c r="AD36" s="113"/>
      <c r="AE36" s="113"/>
      <c r="AF36" s="113"/>
      <c r="AG36" s="113"/>
      <c r="AH36" s="113"/>
      <c r="AI36" s="113"/>
      <c r="AJ36" s="113"/>
    </row>
    <row r="37" spans="8:37" ht="15" customHeight="1" x14ac:dyDescent="0.4">
      <c r="L37" s="113"/>
      <c r="M37" s="113"/>
      <c r="N37" s="113"/>
      <c r="O37" s="113"/>
      <c r="P37" s="113"/>
      <c r="Q37" s="113"/>
      <c r="R37" s="113"/>
      <c r="S37" s="113"/>
      <c r="T37" s="113"/>
      <c r="U37" s="113"/>
      <c r="V37" s="113"/>
      <c r="W37" s="113"/>
      <c r="X37" s="113"/>
      <c r="Y37" s="113"/>
      <c r="Z37" s="115"/>
      <c r="AA37" s="113"/>
      <c r="AB37" s="113"/>
      <c r="AC37" s="113"/>
      <c r="AD37" s="113"/>
      <c r="AE37" s="113"/>
      <c r="AF37" s="113"/>
      <c r="AG37" s="113"/>
      <c r="AH37" s="113"/>
      <c r="AI37" s="113"/>
      <c r="AJ37" s="113"/>
    </row>
    <row r="38" spans="8:37" ht="15" customHeight="1" x14ac:dyDescent="0.4">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row>
    <row r="39" spans="8:37" ht="15" customHeight="1" x14ac:dyDescent="0.4">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row>
    <row r="40" spans="8:37" ht="15" customHeight="1" x14ac:dyDescent="0.4">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row>
    <row r="41" spans="8:37" ht="15" customHeight="1" x14ac:dyDescent="0.4">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row>
    <row r="42" spans="8:37" ht="15" customHeight="1" x14ac:dyDescent="0.4">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row>
    <row r="43" spans="8:37" ht="15" customHeight="1" x14ac:dyDescent="0.4">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row>
    <row r="44" spans="8:37" ht="18.75" customHeight="1" x14ac:dyDescent="0.4">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row>
    <row r="45" spans="8:37" ht="18.75" customHeight="1" x14ac:dyDescent="0.4">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6" spans="8:37" ht="18.75" customHeight="1" x14ac:dyDescent="0.4">
      <c r="V46" s="113"/>
      <c r="W46" s="113"/>
      <c r="X46" s="113"/>
      <c r="Y46" s="113"/>
      <c r="Z46" s="113"/>
      <c r="AA46" s="113"/>
      <c r="AB46" s="113"/>
      <c r="AC46" s="113"/>
      <c r="AD46" s="113"/>
      <c r="AE46" s="113"/>
      <c r="AF46" s="113"/>
      <c r="AG46" s="113"/>
      <c r="AH46" s="113"/>
      <c r="AI46" s="113"/>
      <c r="AJ46" s="113"/>
      <c r="AK46" s="113"/>
    </row>
    <row r="47" spans="8:37" ht="18.75" customHeight="1" x14ac:dyDescent="0.4">
      <c r="V47" s="113"/>
      <c r="W47" s="113"/>
      <c r="X47" s="113"/>
      <c r="Y47" s="113"/>
      <c r="Z47" s="113"/>
      <c r="AA47" s="113"/>
      <c r="AB47" s="113"/>
      <c r="AC47" s="113"/>
      <c r="AD47" s="113"/>
      <c r="AE47" s="113"/>
      <c r="AF47" s="113"/>
      <c r="AG47" s="113"/>
      <c r="AH47" s="113"/>
      <c r="AI47" s="113"/>
      <c r="AJ47" s="113"/>
      <c r="AK47" s="113"/>
    </row>
    <row r="48" spans="8:37" ht="18.75" customHeight="1" x14ac:dyDescent="0.4">
      <c r="V48" s="113"/>
      <c r="W48" s="113"/>
      <c r="X48" s="113"/>
      <c r="Y48" s="113"/>
      <c r="Z48" s="113"/>
      <c r="AA48" s="113"/>
      <c r="AB48" s="113"/>
      <c r="AC48" s="113"/>
      <c r="AD48" s="113"/>
      <c r="AE48" s="113"/>
      <c r="AF48" s="113"/>
      <c r="AG48" s="113"/>
      <c r="AH48" s="113"/>
      <c r="AI48" s="113"/>
      <c r="AJ48" s="113"/>
      <c r="AK48" s="113"/>
    </row>
    <row r="49" spans="22:37" ht="18.75" customHeight="1" x14ac:dyDescent="0.4">
      <c r="V49" s="113"/>
      <c r="W49" s="113"/>
      <c r="X49" s="113"/>
      <c r="Y49" s="113"/>
      <c r="Z49" s="113"/>
      <c r="AA49" s="113"/>
      <c r="AB49" s="113"/>
      <c r="AC49" s="113"/>
      <c r="AD49" s="113"/>
      <c r="AE49" s="113"/>
      <c r="AF49" s="113"/>
      <c r="AG49" s="113"/>
      <c r="AH49" s="113"/>
      <c r="AI49" s="113"/>
      <c r="AJ49" s="113"/>
      <c r="AK49" s="113"/>
    </row>
    <row r="50" spans="22:37" ht="18.75" customHeight="1" x14ac:dyDescent="0.4">
      <c r="V50" s="113"/>
      <c r="W50" s="113"/>
      <c r="X50" s="113"/>
      <c r="Y50" s="113"/>
      <c r="Z50" s="113"/>
      <c r="AA50" s="113"/>
      <c r="AB50" s="113"/>
      <c r="AC50" s="113"/>
      <c r="AD50" s="113"/>
      <c r="AE50" s="113"/>
      <c r="AF50" s="113"/>
      <c r="AG50" s="113"/>
      <c r="AH50" s="113"/>
      <c r="AI50" s="113"/>
      <c r="AJ50" s="113"/>
      <c r="AK50" s="113"/>
    </row>
    <row r="51" spans="22:37" ht="18.75" customHeight="1" x14ac:dyDescent="0.4">
      <c r="V51" s="113"/>
      <c r="W51" s="113"/>
      <c r="X51" s="113"/>
      <c r="Y51" s="113"/>
      <c r="Z51" s="113"/>
      <c r="AA51" s="113"/>
      <c r="AB51" s="113"/>
      <c r="AC51" s="113"/>
      <c r="AD51" s="113"/>
      <c r="AE51" s="113"/>
      <c r="AF51" s="113"/>
      <c r="AG51" s="113"/>
      <c r="AH51" s="113"/>
      <c r="AI51" s="113"/>
      <c r="AJ51" s="113"/>
      <c r="AK51" s="113"/>
    </row>
    <row r="52" spans="22:37" ht="18.75" customHeight="1" x14ac:dyDescent="0.4">
      <c r="V52" s="113"/>
      <c r="W52" s="113"/>
      <c r="X52" s="113"/>
      <c r="Y52" s="113"/>
      <c r="Z52" s="113"/>
      <c r="AA52" s="113"/>
      <c r="AB52" s="113"/>
      <c r="AC52" s="113"/>
      <c r="AD52" s="113"/>
      <c r="AE52" s="113"/>
      <c r="AF52" s="113"/>
      <c r="AG52" s="113"/>
      <c r="AH52" s="113"/>
      <c r="AI52" s="113"/>
      <c r="AJ52" s="113"/>
      <c r="AK52" s="113"/>
    </row>
  </sheetData>
  <sheetProtection password="CC46" sheet="1" selectLockedCells="1"/>
  <mergeCells count="66">
    <mergeCell ref="D17:E17"/>
    <mergeCell ref="J13:L13"/>
    <mergeCell ref="J14:L14"/>
    <mergeCell ref="Q12:R12"/>
    <mergeCell ref="AG2:AH2"/>
    <mergeCell ref="Z2:AA2"/>
    <mergeCell ref="AF2:AF3"/>
    <mergeCell ref="V2:Y2"/>
    <mergeCell ref="AB2:AC2"/>
    <mergeCell ref="AD2:AE2"/>
    <mergeCell ref="E11:I11"/>
    <mergeCell ref="E12:I12"/>
    <mergeCell ref="E8:I8"/>
    <mergeCell ref="AE13:AF13"/>
    <mergeCell ref="E14:I14"/>
    <mergeCell ref="E13:I13"/>
    <mergeCell ref="Q14:R14"/>
    <mergeCell ref="Q13:R13"/>
    <mergeCell ref="AE14:AF14"/>
    <mergeCell ref="E10:I10"/>
    <mergeCell ref="V1:W1"/>
    <mergeCell ref="K2:M2"/>
    <mergeCell ref="J7:K7"/>
    <mergeCell ref="Q8:R8"/>
    <mergeCell ref="Q7:S7"/>
    <mergeCell ref="Q11:R11"/>
    <mergeCell ref="Q10:R10"/>
    <mergeCell ref="J10:L10"/>
    <mergeCell ref="J9:L9"/>
    <mergeCell ref="J11:L11"/>
    <mergeCell ref="M12:P12"/>
    <mergeCell ref="A7:B7"/>
    <mergeCell ref="A8:B8"/>
    <mergeCell ref="M8:P8"/>
    <mergeCell ref="J8:L8"/>
    <mergeCell ref="F3:G3"/>
    <mergeCell ref="C8:D8"/>
    <mergeCell ref="M5:N5"/>
    <mergeCell ref="A14:B14"/>
    <mergeCell ref="A13:B13"/>
    <mergeCell ref="E9:I9"/>
    <mergeCell ref="Q9:R9"/>
    <mergeCell ref="C10:D10"/>
    <mergeCell ref="C9:D9"/>
    <mergeCell ref="C13:D13"/>
    <mergeCell ref="A12:B12"/>
    <mergeCell ref="A11:B11"/>
    <mergeCell ref="A10:B10"/>
    <mergeCell ref="A9:B9"/>
    <mergeCell ref="C14:D14"/>
    <mergeCell ref="J12:L12"/>
    <mergeCell ref="M9:P11"/>
    <mergeCell ref="C12:D12"/>
    <mergeCell ref="C11:D11"/>
    <mergeCell ref="AB24:AD24"/>
    <mergeCell ref="AC25:AD25"/>
    <mergeCell ref="V24:Z24"/>
    <mergeCell ref="AE15:AF15"/>
    <mergeCell ref="AI32:AJ32"/>
    <mergeCell ref="AH24:AJ24"/>
    <mergeCell ref="AF25:AG27"/>
    <mergeCell ref="AF28:AG28"/>
    <mergeCell ref="AF32:AG32"/>
    <mergeCell ref="AI28:AJ28"/>
    <mergeCell ref="AI25:AJ27"/>
    <mergeCell ref="AE24:AG24"/>
  </mergeCells>
  <phoneticPr fontId="1"/>
  <dataValidations count="5">
    <dataValidation type="list" allowBlank="1" showInputMessage="1" showErrorMessage="1" sqref="C8:D14">
      <formula1>$AI$2:$AI$5</formula1>
    </dataValidation>
    <dataValidation type="list" allowBlank="1" showInputMessage="1" showErrorMessage="1" sqref="M8">
      <formula1>$AI$7:$AI$8</formula1>
    </dataValidation>
    <dataValidation type="whole" operator="greaterThanOrEqual" allowBlank="1" showInputMessage="1" showErrorMessage="1" sqref="E8:I14">
      <formula1>0</formula1>
    </dataValidation>
    <dataValidation type="list" allowBlank="1" showInputMessage="1" showErrorMessage="1" sqref="D17:E17">
      <formula1>$AJ$2:$AJ$13</formula1>
    </dataValidation>
    <dataValidation type="list" allowBlank="1" showInputMessage="1" showErrorMessage="1" sqref="J8:L14">
      <formula1>$AI$10:$AI$14</formula1>
    </dataValidation>
  </dataValidations>
  <pageMargins left="0.23622047244094491" right="0.23622047244094491" top="0.15748031496062992" bottom="0.15748031496062992" header="0.31496062992125984" footer="0.31496062992125984"/>
  <pageSetup paperSize="9" scale="88" fitToWidth="0" orientation="landscape" r:id="rId1"/>
  <ignoredErrors>
    <ignoredError sqref="AB11 AD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2021-06-21T00:45:39Z</dcterms:created>
  <dcterms:modified xsi:type="dcterms:W3CDTF">2024-03-13T02:06:53Z</dcterms:modified>
</cp:coreProperties>
</file>